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aye\OneDrive\Desktop\Devens stuff\Site Assement Presentation\"/>
    </mc:Choice>
  </mc:AlternateContent>
  <xr:revisionPtr revIDLastSave="0" documentId="13_ncr:1_{620C2A1B-9FBF-458C-9AF3-4B97E00B47D4}" xr6:coauthVersionLast="47" xr6:coauthVersionMax="47" xr10:uidLastSave="{00000000-0000-0000-0000-000000000000}"/>
  <bookViews>
    <workbookView xWindow="1880" yWindow="950" windowWidth="15540" windowHeight="9620" xr2:uid="{8439B24E-C723-490A-9DDC-50B96C61FDA7}"/>
  </bookViews>
  <sheets>
    <sheet name="Total Proposed Matrix" sheetId="10" r:id="rId1"/>
    <sheet name="RF VS Asses with GIS DATA" sheetId="4" r:id="rId2"/>
    <sheet name="Pine Asses with GIS DATA  " sheetId="6" r:id="rId3"/>
    <sheet name="Grant Asses with GIS DATA " sheetId="5" r:id="rId4"/>
    <sheet name="AdamsCav Area Asseswth GIS DATA" sheetId="8" r:id="rId5"/>
    <sheet name="Est HarvardHL Asseswth GIS DATA" sheetId="9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0" l="1"/>
  <c r="I21" i="10"/>
  <c r="H21" i="10"/>
  <c r="G21" i="10"/>
  <c r="F21" i="10"/>
  <c r="E21" i="10"/>
  <c r="A23" i="10" s="1"/>
  <c r="B21" i="10"/>
  <c r="L20" i="10"/>
  <c r="D20" i="10"/>
  <c r="C20" i="10"/>
  <c r="L19" i="10"/>
  <c r="D19" i="10"/>
  <c r="C19" i="10"/>
  <c r="L18" i="10"/>
  <c r="D18" i="10"/>
  <c r="C18" i="10"/>
  <c r="L17" i="10"/>
  <c r="D17" i="10"/>
  <c r="C17" i="10"/>
  <c r="L16" i="10"/>
  <c r="D16" i="10"/>
  <c r="C16" i="10"/>
  <c r="J15" i="10"/>
  <c r="L15" i="10" s="1"/>
  <c r="D15" i="10"/>
  <c r="C15" i="10"/>
  <c r="J14" i="10"/>
  <c r="L14" i="10" s="1"/>
  <c r="D14" i="10"/>
  <c r="C14" i="10"/>
  <c r="J13" i="10"/>
  <c r="L13" i="10" s="1"/>
  <c r="D13" i="10"/>
  <c r="C13" i="10"/>
  <c r="L12" i="10"/>
  <c r="D12" i="10"/>
  <c r="C12" i="10"/>
  <c r="J11" i="10"/>
  <c r="L11" i="10" s="1"/>
  <c r="D11" i="10"/>
  <c r="C11" i="10"/>
  <c r="J10" i="10"/>
  <c r="L10" i="10" s="1"/>
  <c r="D10" i="10"/>
  <c r="C10" i="10"/>
  <c r="J9" i="10"/>
  <c r="L9" i="10" s="1"/>
  <c r="D9" i="10"/>
  <c r="C9" i="10"/>
  <c r="J8" i="10"/>
  <c r="L8" i="10" s="1"/>
  <c r="D8" i="10"/>
  <c r="C8" i="10"/>
  <c r="J7" i="10"/>
  <c r="L7" i="10" s="1"/>
  <c r="D7" i="10"/>
  <c r="C7" i="10"/>
  <c r="J6" i="10"/>
  <c r="L6" i="10" s="1"/>
  <c r="M7" i="10" s="1"/>
  <c r="D6" i="10"/>
  <c r="C6" i="10"/>
  <c r="J5" i="10"/>
  <c r="L5" i="10" s="1"/>
  <c r="L4" i="10"/>
  <c r="J3" i="10"/>
  <c r="L3" i="10" s="1"/>
  <c r="F14" i="5"/>
  <c r="E14" i="5"/>
  <c r="F9" i="5"/>
  <c r="E9" i="5"/>
  <c r="F4" i="5"/>
  <c r="E4" i="5"/>
  <c r="E11" i="5"/>
  <c r="F11" i="5"/>
  <c r="C21" i="10" l="1"/>
  <c r="M15" i="10"/>
  <c r="D21" i="10"/>
  <c r="M20" i="10"/>
  <c r="M5" i="10"/>
  <c r="L21" i="10"/>
  <c r="M10" i="10"/>
  <c r="J21" i="10"/>
  <c r="M21" i="10" l="1"/>
  <c r="A24" i="10" s="1"/>
  <c r="F24" i="9" l="1"/>
  <c r="E24" i="9"/>
  <c r="L21" i="8"/>
  <c r="K21" i="8"/>
  <c r="H21" i="8" s="1"/>
  <c r="J21" i="8"/>
  <c r="I21" i="8"/>
  <c r="M19" i="8"/>
  <c r="F19" i="8"/>
  <c r="F21" i="8" s="1"/>
  <c r="E19" i="8"/>
  <c r="E21" i="8" s="1"/>
  <c r="D10" i="4"/>
  <c r="D5" i="4"/>
  <c r="G21" i="8" l="1"/>
  <c r="G22" i="8"/>
  <c r="G19" i="8"/>
  <c r="K26" i="9" l="1"/>
  <c r="D12" i="4"/>
  <c r="F26" i="9"/>
  <c r="F19" i="9"/>
  <c r="E19" i="9"/>
  <c r="F9" i="9"/>
  <c r="F11" i="9" s="1"/>
  <c r="E9" i="9"/>
  <c r="E11" i="9" s="1"/>
  <c r="F4" i="9"/>
  <c r="E4" i="9"/>
  <c r="L21" i="9"/>
  <c r="K21" i="9"/>
  <c r="J21" i="9"/>
  <c r="I21" i="9"/>
  <c r="H21" i="9"/>
  <c r="F14" i="9"/>
  <c r="F16" i="9" s="1"/>
  <c r="E14" i="9"/>
  <c r="E16" i="9" s="1"/>
  <c r="L26" i="9"/>
  <c r="J26" i="9"/>
  <c r="I26" i="9"/>
  <c r="M24" i="9"/>
  <c r="E26" i="9"/>
  <c r="L16" i="9"/>
  <c r="K16" i="9"/>
  <c r="J16" i="9"/>
  <c r="I16" i="9"/>
  <c r="L11" i="9"/>
  <c r="K11" i="9"/>
  <c r="J11" i="9"/>
  <c r="I11" i="9"/>
  <c r="M19" i="9"/>
  <c r="M14" i="9"/>
  <c r="M9" i="9"/>
  <c r="L6" i="9"/>
  <c r="K6" i="9"/>
  <c r="J6" i="9"/>
  <c r="I6" i="9"/>
  <c r="M4" i="9"/>
  <c r="F6" i="9"/>
  <c r="E6" i="9"/>
  <c r="L11" i="6"/>
  <c r="K11" i="6"/>
  <c r="J11" i="6"/>
  <c r="I11" i="6"/>
  <c r="F24" i="8"/>
  <c r="F26" i="8" s="1"/>
  <c r="E24" i="8"/>
  <c r="E26" i="8" s="1"/>
  <c r="F14" i="8"/>
  <c r="F16" i="8" s="1"/>
  <c r="E14" i="8"/>
  <c r="E16" i="8" s="1"/>
  <c r="F9" i="8"/>
  <c r="F11" i="8" s="1"/>
  <c r="E9" i="8"/>
  <c r="E11" i="8" s="1"/>
  <c r="L26" i="8"/>
  <c r="K26" i="8"/>
  <c r="J26" i="8"/>
  <c r="I26" i="8"/>
  <c r="M24" i="8"/>
  <c r="L16" i="8"/>
  <c r="K16" i="8"/>
  <c r="J16" i="8"/>
  <c r="I16" i="8"/>
  <c r="M14" i="8"/>
  <c r="L11" i="8"/>
  <c r="K11" i="8"/>
  <c r="J11" i="8"/>
  <c r="I11" i="8"/>
  <c r="M9" i="8"/>
  <c r="L6" i="8"/>
  <c r="K6" i="8"/>
  <c r="J6" i="8"/>
  <c r="I6" i="8"/>
  <c r="M4" i="8"/>
  <c r="F4" i="8"/>
  <c r="F6" i="8" s="1"/>
  <c r="E4" i="8"/>
  <c r="E6" i="8" s="1"/>
  <c r="O10" i="4"/>
  <c r="K12" i="4"/>
  <c r="K16" i="5"/>
  <c r="K11" i="5"/>
  <c r="K6" i="5"/>
  <c r="K6" i="6"/>
  <c r="M17" i="4"/>
  <c r="M12" i="4"/>
  <c r="M7" i="4"/>
  <c r="M14" i="5"/>
  <c r="M9" i="5"/>
  <c r="M4" i="5"/>
  <c r="M9" i="6"/>
  <c r="M4" i="6"/>
  <c r="O15" i="4"/>
  <c r="O5" i="4"/>
  <c r="H26" i="9" l="1"/>
  <c r="G26" i="9" s="1"/>
  <c r="G27" i="9" s="1"/>
  <c r="M18" i="5"/>
  <c r="M28" i="9"/>
  <c r="H6" i="8"/>
  <c r="G6" i="8" s="1"/>
  <c r="E21" i="9"/>
  <c r="F21" i="9"/>
  <c r="G21" i="9" s="1"/>
  <c r="G19" i="9" s="1"/>
  <c r="H16" i="9"/>
  <c r="G16" i="9" s="1"/>
  <c r="G22" i="9"/>
  <c r="H11" i="9"/>
  <c r="G11" i="9" s="1"/>
  <c r="H6" i="9"/>
  <c r="G6" i="9" s="1"/>
  <c r="M28" i="8"/>
  <c r="H16" i="8"/>
  <c r="G16" i="8" s="1"/>
  <c r="G14" i="8" s="1"/>
  <c r="H26" i="8"/>
  <c r="G26" i="8" s="1"/>
  <c r="G24" i="8" s="1"/>
  <c r="H11" i="8"/>
  <c r="I17" i="4"/>
  <c r="J17" i="4"/>
  <c r="N17" i="4"/>
  <c r="F17" i="4"/>
  <c r="F9" i="6"/>
  <c r="F11" i="6" s="1"/>
  <c r="E9" i="6"/>
  <c r="E11" i="6" s="1"/>
  <c r="L6" i="6"/>
  <c r="J6" i="6"/>
  <c r="I6" i="6"/>
  <c r="F4" i="6"/>
  <c r="F6" i="6" s="1"/>
  <c r="E4" i="6"/>
  <c r="E6" i="6" s="1"/>
  <c r="L16" i="5"/>
  <c r="J16" i="5"/>
  <c r="I16" i="5"/>
  <c r="E16" i="5"/>
  <c r="F16" i="5"/>
  <c r="J6" i="5"/>
  <c r="I6" i="5"/>
  <c r="L11" i="5"/>
  <c r="J11" i="5"/>
  <c r="I11" i="5"/>
  <c r="L6" i="5"/>
  <c r="F6" i="5"/>
  <c r="E6" i="5"/>
  <c r="F5" i="4"/>
  <c r="F7" i="4" s="1"/>
  <c r="E5" i="4"/>
  <c r="E7" i="4" s="1"/>
  <c r="N12" i="4"/>
  <c r="N7" i="4"/>
  <c r="J12" i="4"/>
  <c r="J7" i="4"/>
  <c r="I12" i="4"/>
  <c r="I7" i="4"/>
  <c r="F15" i="4"/>
  <c r="E17" i="4"/>
  <c r="E10" i="4"/>
  <c r="D7" i="4"/>
  <c r="G24" i="9" l="1"/>
  <c r="G17" i="8"/>
  <c r="G4" i="8"/>
  <c r="G7" i="8"/>
  <c r="G14" i="9"/>
  <c r="G17" i="9"/>
  <c r="G9" i="9"/>
  <c r="G12" i="9"/>
  <c r="G4" i="9"/>
  <c r="G7" i="9"/>
  <c r="H6" i="6"/>
  <c r="G6" i="6" s="1"/>
  <c r="G7" i="6" s="1"/>
  <c r="G27" i="8"/>
  <c r="G11" i="8"/>
  <c r="G12" i="8" s="1"/>
  <c r="H11" i="6"/>
  <c r="G11" i="6" s="1"/>
  <c r="H17" i="4"/>
  <c r="M13" i="6"/>
  <c r="H11" i="5"/>
  <c r="G11" i="5" s="1"/>
  <c r="G9" i="5" s="1"/>
  <c r="H16" i="5"/>
  <c r="G16" i="5" s="1"/>
  <c r="H6" i="5"/>
  <c r="G6" i="5" s="1"/>
  <c r="G4" i="5" s="1"/>
  <c r="F10" i="4"/>
  <c r="F12" i="4" s="1"/>
  <c r="O18" i="4"/>
  <c r="H12" i="4"/>
  <c r="H7" i="4"/>
  <c r="G7" i="4" s="1"/>
  <c r="G5" i="4" s="1"/>
  <c r="E12" i="4"/>
  <c r="G9" i="8" l="1"/>
  <c r="G9" i="6"/>
  <c r="G12" i="6"/>
  <c r="G4" i="6"/>
  <c r="G7" i="5"/>
  <c r="G12" i="5"/>
  <c r="G17" i="5"/>
  <c r="G14" i="5"/>
  <c r="G12" i="4"/>
  <c r="G10" i="4" s="1"/>
  <c r="G8" i="4"/>
  <c r="G13" i="4" l="1"/>
</calcChain>
</file>

<file path=xl/sharedStrings.xml><?xml version="1.0" encoding="utf-8"?>
<sst xmlns="http://schemas.openxmlformats.org/spreadsheetml/2006/main" count="415" uniqueCount="121">
  <si>
    <t>Ma Dev</t>
  </si>
  <si>
    <t>Who owns</t>
  </si>
  <si>
    <t xml:space="preserve">Notes </t>
  </si>
  <si>
    <t>Innovation and Tech</t>
  </si>
  <si>
    <t>Total Proposed Building/Lot  Foot print</t>
  </si>
  <si>
    <t>Totals of Added sf  Impervious road +Total Proposed Building/Lot  Foot print</t>
  </si>
  <si>
    <t xml:space="preserve">Acreage from GIS data </t>
  </si>
  <si>
    <t xml:space="preserve">Total units per site </t>
  </si>
  <si>
    <t>Acres Available</t>
  </si>
  <si>
    <t>Totals in Square Feet</t>
  </si>
  <si>
    <t>Square Feet Available</t>
  </si>
  <si>
    <t>Zoned</t>
  </si>
  <si>
    <t>Secretaries Target 400</t>
  </si>
  <si>
    <t>Quantity of each housing type</t>
  </si>
  <si>
    <t>50% Acreage preserved as walkable forested or existing to be reused</t>
  </si>
  <si>
    <t>Parcel address</t>
  </si>
  <si>
    <t>Total Square Feet Per GIS Data</t>
  </si>
  <si>
    <t xml:space="preserve">LF  </t>
  </si>
  <si>
    <t>How much to preserve</t>
  </si>
  <si>
    <t>How much to develop</t>
  </si>
  <si>
    <t xml:space="preserve">LF and SF of Impervious road, driveway, guest parking and Emergency  Access </t>
  </si>
  <si>
    <t xml:space="preserve">How much impacted with housing plots </t>
  </si>
  <si>
    <t xml:space="preserve">Where can we build and acres available to do so </t>
  </si>
  <si>
    <t xml:space="preserve">Housing type and Plot sizes </t>
  </si>
  <si>
    <t>Notes</t>
  </si>
  <si>
    <t xml:space="preserve">Color Code  Legend of Definitions </t>
  </si>
  <si>
    <t>How much impervious Surface</t>
  </si>
  <si>
    <t xml:space="preserve">As noted </t>
  </si>
  <si>
    <t>Explains it self in the headings</t>
  </si>
  <si>
    <t>Explains it self in the headings as to type of housing and lot with yard foot prints in SF</t>
  </si>
  <si>
    <t>Impact in Square Feet</t>
  </si>
  <si>
    <t>59 Grant</t>
  </si>
  <si>
    <t>Residential</t>
  </si>
  <si>
    <t>140 Grant road</t>
  </si>
  <si>
    <t>160 Grant Road</t>
  </si>
  <si>
    <t>1 Pine</t>
  </si>
  <si>
    <t>15 Pine</t>
  </si>
  <si>
    <t>Useful in formulas to calculate impact to a more refined degree than  % of acres</t>
  </si>
  <si>
    <t>100 Adams Circle</t>
  </si>
  <si>
    <t>40 Salerno Circle</t>
  </si>
  <si>
    <t>Special Use I</t>
  </si>
  <si>
    <t xml:space="preserve">Rehab Existing as noted in Bach Qtrs. Add Parking deck in courtyard with garden permitter </t>
  </si>
  <si>
    <t>Half the property is not in the Devens footprint as to why less proposed units per acre</t>
  </si>
  <si>
    <t xml:space="preserve">  </t>
  </si>
  <si>
    <t>Quantity of each Unit type</t>
  </si>
  <si>
    <t>Quantity of each housing or unit type</t>
  </si>
  <si>
    <t>Protect / Preserve Forman Garden Preserve tree boarder  at Antitum</t>
  </si>
  <si>
    <t>Vicksburg Square Restoration and Reuse</t>
  </si>
  <si>
    <t>SF Floors Apx.</t>
  </si>
  <si>
    <t xml:space="preserve">% of  Acreage to be preserved as walkable forested or existing Parking, Fields/Open Space, Monuments to be Repurposed or Restored </t>
  </si>
  <si>
    <t>Existing Bldgs.</t>
  </si>
  <si>
    <t>%  of Acreage Developable using cluster loop road Impervious roads, drives and lot foot print combined</t>
  </si>
  <si>
    <t xml:space="preserve">Totals of LF and SF of potential Impervious road, driveway, guest parking and Emergency  Access </t>
  </si>
  <si>
    <t>Secretaries focus on Vicksburg Square-Rodgers Field Housing Potential if rezoned to Residential</t>
  </si>
  <si>
    <t xml:space="preserve"> Total unit Potential as Residential</t>
  </si>
  <si>
    <t>Single Family home to 2400 sf 7000 sf Lot</t>
  </si>
  <si>
    <t>Starter 1000 to 1200 sf unit 5000 sf lot Deed restricted as to allowable added sf</t>
  </si>
  <si>
    <t>Multi family 1500 -2200 sf  2 story         4 units per bldg. 10000 sf lot with parking at lower level</t>
  </si>
  <si>
    <t>Cottages 5-600 sf Unit 3500 sf lots inclusive of courtyard and shared parking</t>
  </si>
  <si>
    <t>Potential Mixed Use Residential retail 700 to 1000 sf Store on 4000 sf Lots</t>
  </si>
  <si>
    <t>1 Bates Street</t>
  </si>
  <si>
    <t>50%-25% Acreage preserved as walkable forested or existing to be reused</t>
  </si>
  <si>
    <t>95 Buena Vista Street</t>
  </si>
  <si>
    <t>99 Cavite Street</t>
  </si>
  <si>
    <t>24 Cavite Street</t>
  </si>
  <si>
    <t>50% Preserved 50% Impacted</t>
  </si>
  <si>
    <t>Adams Circle  and Cavite Street Area Residential Potential</t>
  </si>
  <si>
    <t>Estates of Harvard Hills</t>
  </si>
  <si>
    <t>4 Auman Street</t>
  </si>
  <si>
    <t>More impacted 75% so less to preserve 25%</t>
  </si>
  <si>
    <t>50%-75% Acreage Developable impact of  cluster loop road, driveways parking  and lot foot print.</t>
  </si>
  <si>
    <t xml:space="preserve">Additional housing on Grant Road Potential Currently Residential abutting other  existing residential </t>
  </si>
  <si>
    <t>50% Acreage Developable impact of  cluster loop road, driveways parking  and lot foot print.</t>
  </si>
  <si>
    <t xml:space="preserve">Available Acreage </t>
  </si>
  <si>
    <t xml:space="preserve">Additional housing on Pine Road Potential Currently Residential abutting other existing residential </t>
  </si>
  <si>
    <t>Mixed use retail Walking Mall. Bachelor Officers qtrs. Rehab to 65 apartments new with all up grades to net zero standards where possible</t>
  </si>
  <si>
    <t xml:space="preserve">Mixed Use Retail Walking Mall </t>
  </si>
  <si>
    <t xml:space="preserve">Access to Rodgers field crowds and walkable from many neighborhoods </t>
  </si>
  <si>
    <t>5 Auman Street</t>
  </si>
  <si>
    <t>50 Walnut Street</t>
  </si>
  <si>
    <t>50%-75%  Acreage preserved as walkable forested or existing to be reused</t>
  </si>
  <si>
    <t>To Remain as is 8 Balls Bluff, 84 Antietum, 125 Sherman and 23 Buena Vista</t>
  </si>
  <si>
    <t>Auman Street, Walnut Street residential per Estates of Harvard Hills approval and Salerno Circle Potential if rezoned Residential</t>
  </si>
  <si>
    <t>0 Walnut Street</t>
  </si>
  <si>
    <t xml:space="preserve"> </t>
  </si>
  <si>
    <t>Cottage (Affordable to Construct)</t>
  </si>
  <si>
    <t>Starter (Affordable to Construct)</t>
  </si>
  <si>
    <t>Singel Family</t>
  </si>
  <si>
    <t>Apt Units</t>
  </si>
  <si>
    <t>Mixed use retail Rodgers field</t>
  </si>
  <si>
    <t>Multi Family units</t>
  </si>
  <si>
    <t>Total Unit per page</t>
  </si>
  <si>
    <t>Grant Road Area</t>
  </si>
  <si>
    <t>Adams Circle Cavite Street Area</t>
  </si>
  <si>
    <t>Est Harvard Hills  Salerno Circle</t>
  </si>
  <si>
    <t xml:space="preserve">Location </t>
  </si>
  <si>
    <t>3 and 15 Buena Vista Street</t>
  </si>
  <si>
    <t>VKSBG SQ RF Area</t>
  </si>
  <si>
    <t>Vicksburg Square</t>
  </si>
  <si>
    <t xml:space="preserve">1 Pine Road </t>
  </si>
  <si>
    <t>15 Pine Road</t>
  </si>
  <si>
    <t>59 Grant Road</t>
  </si>
  <si>
    <t>140 Grant Road</t>
  </si>
  <si>
    <t>95 Buena Vista Antietam Fields</t>
  </si>
  <si>
    <t xml:space="preserve"> Total of each type</t>
  </si>
  <si>
    <t xml:space="preserve">Vicksburg Square, Old Batchelor's quarters  101 Sherman potential apartments </t>
  </si>
  <si>
    <t>308 and 309 0 Buena Vista St. 93 &amp; 101 Sherman     105 Sherman Ave to remain</t>
  </si>
  <si>
    <t xml:space="preserve">3 Buena Vista Street           15 Buena Vista Street                            </t>
  </si>
  <si>
    <t>Total Acres Available per lot</t>
  </si>
  <si>
    <t>Acres Preserved</t>
  </si>
  <si>
    <t>Acres Impacted</t>
  </si>
  <si>
    <t>Multi family  buildings              with 4 units</t>
  </si>
  <si>
    <t>Total Units per lot</t>
  </si>
  <si>
    <t>Pine St</t>
  </si>
  <si>
    <t># of  cottage and starter homes that become affordable by less expensive to construct</t>
  </si>
  <si>
    <t>35% Acreage preserved as walkable forested or existing to be reused</t>
  </si>
  <si>
    <t>308 and 309 0 Buena Vista St. 93 &amp; 101 Sherman                                 105 Sherman Ave to remain</t>
  </si>
  <si>
    <t>% of total that potentially do not need to be subsidized (40B type) to achieve affordability</t>
  </si>
  <si>
    <t>65% Acreage Developable impact of  cluster loop road, driveways parking  and lot foot print.</t>
  </si>
  <si>
    <t>50%-25% Acreage Developable with impact of  cluster loop road, driveways parking  and lot foot print.</t>
  </si>
  <si>
    <t>Summary of all 5 Tabs 4/28/2025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</si>
</sst>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i/>
      <sz val="14"/>
      <color rgb="FF7030A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rgb="FF7030A0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1" fontId="1" fillId="5" borderId="1" xfId="0" applyNumberFormat="1" applyFont="1" applyFill="1" applyBorder="1" applyAlignment="1">
      <alignment vertical="top"/>
    </xf>
    <xf numFmtId="1" fontId="1" fillId="11" borderId="1" xfId="0" applyNumberFormat="1" applyFont="1" applyFill="1" applyBorder="1" applyAlignment="1">
      <alignment vertical="top"/>
    </xf>
    <xf numFmtId="1" fontId="3" fillId="6" borderId="1" xfId="0" applyNumberFormat="1" applyFont="1" applyFill="1" applyBorder="1" applyAlignment="1">
      <alignment vertical="top"/>
    </xf>
    <xf numFmtId="2" fontId="1" fillId="9" borderId="1" xfId="0" applyNumberFormat="1" applyFont="1" applyFill="1" applyBorder="1" applyAlignment="1">
      <alignment vertical="top"/>
    </xf>
    <xf numFmtId="2" fontId="1" fillId="3" borderId="1" xfId="0" applyNumberFormat="1" applyFont="1" applyFill="1" applyBorder="1" applyAlignment="1">
      <alignment vertical="top"/>
    </xf>
    <xf numFmtId="2" fontId="1" fillId="6" borderId="1" xfId="0" applyNumberFormat="1" applyFont="1" applyFill="1" applyBorder="1" applyAlignment="1">
      <alignment vertical="top"/>
    </xf>
    <xf numFmtId="1" fontId="1" fillId="7" borderId="1" xfId="0" applyNumberFormat="1" applyFont="1" applyFill="1" applyBorder="1" applyAlignment="1">
      <alignment vertical="top"/>
    </xf>
    <xf numFmtId="1" fontId="1" fillId="8" borderId="1" xfId="0" applyNumberFormat="1" applyFont="1" applyFill="1" applyBorder="1" applyAlignment="1">
      <alignment vertical="top" wrapText="1"/>
    </xf>
    <xf numFmtId="1" fontId="1" fillId="10" borderId="1" xfId="0" applyNumberFormat="1" applyFont="1" applyFill="1" applyBorder="1" applyAlignment="1">
      <alignment vertical="top"/>
    </xf>
    <xf numFmtId="1" fontId="5" fillId="3" borderId="1" xfId="0" applyNumberFormat="1" applyFont="1" applyFill="1" applyBorder="1" applyAlignment="1">
      <alignment vertical="top"/>
    </xf>
    <xf numFmtId="1" fontId="5" fillId="7" borderId="1" xfId="0" applyNumberFormat="1" applyFont="1" applyFill="1" applyBorder="1" applyAlignment="1">
      <alignment vertical="top"/>
    </xf>
    <xf numFmtId="1" fontId="5" fillId="8" borderId="1" xfId="0" applyNumberFormat="1" applyFont="1" applyFill="1" applyBorder="1" applyAlignment="1">
      <alignment vertical="top"/>
    </xf>
    <xf numFmtId="1" fontId="5" fillId="4" borderId="1" xfId="0" applyNumberFormat="1" applyFont="1" applyFill="1" applyBorder="1" applyAlignment="1">
      <alignment vertical="top"/>
    </xf>
    <xf numFmtId="1" fontId="1" fillId="7" borderId="1" xfId="0" applyNumberFormat="1" applyFont="1" applyFill="1" applyBorder="1" applyAlignment="1">
      <alignment horizontal="center" vertical="top"/>
    </xf>
    <xf numFmtId="1" fontId="5" fillId="11" borderId="1" xfId="0" applyNumberFormat="1" applyFont="1" applyFill="1" applyBorder="1" applyAlignment="1">
      <alignment vertical="top"/>
    </xf>
    <xf numFmtId="0" fontId="1" fillId="11" borderId="1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1" fontId="1" fillId="3" borderId="1" xfId="0" applyNumberFormat="1" applyFont="1" applyFill="1" applyBorder="1" applyAlignment="1">
      <alignment vertical="top"/>
    </xf>
    <xf numFmtId="0" fontId="5" fillId="11" borderId="1" xfId="0" applyFont="1" applyFill="1" applyBorder="1" applyAlignment="1">
      <alignment vertical="top"/>
    </xf>
    <xf numFmtId="0" fontId="1" fillId="7" borderId="1" xfId="0" applyFont="1" applyFill="1" applyBorder="1" applyAlignment="1">
      <alignment horizontal="center" vertical="top"/>
    </xf>
    <xf numFmtId="1" fontId="4" fillId="11" borderId="3" xfId="0" applyNumberFormat="1" applyFont="1" applyFill="1" applyBorder="1" applyAlignment="1">
      <alignment vertical="top"/>
    </xf>
    <xf numFmtId="0" fontId="4" fillId="11" borderId="9" xfId="0" applyFont="1" applyFill="1" applyBorder="1" applyAlignment="1">
      <alignment vertical="top"/>
    </xf>
    <xf numFmtId="0" fontId="1" fillId="12" borderId="11" xfId="0" applyFont="1" applyFill="1" applyBorder="1" applyAlignment="1">
      <alignment wrapText="1"/>
    </xf>
    <xf numFmtId="14" fontId="4" fillId="12" borderId="18" xfId="0" applyNumberFormat="1" applyFont="1" applyFill="1" applyBorder="1" applyAlignment="1">
      <alignment horizontal="center" vertical="top"/>
    </xf>
    <xf numFmtId="0" fontId="1" fillId="9" borderId="1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10" borderId="2" xfId="0" applyFont="1" applyFill="1" applyBorder="1" applyAlignment="1">
      <alignment horizontal="left" vertical="center" wrapText="1"/>
    </xf>
    <xf numFmtId="0" fontId="1" fillId="12" borderId="11" xfId="0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center" vertical="top"/>
    </xf>
    <xf numFmtId="2" fontId="6" fillId="3" borderId="1" xfId="0" applyNumberFormat="1" applyFont="1" applyFill="1" applyBorder="1" applyAlignment="1">
      <alignment vertical="top"/>
    </xf>
    <xf numFmtId="2" fontId="6" fillId="6" borderId="1" xfId="0" applyNumberFormat="1" applyFont="1" applyFill="1" applyBorder="1" applyAlignment="1">
      <alignment vertical="top"/>
    </xf>
    <xf numFmtId="1" fontId="6" fillId="7" borderId="1" xfId="0" applyNumberFormat="1" applyFont="1" applyFill="1" applyBorder="1" applyAlignment="1">
      <alignment vertical="top"/>
    </xf>
    <xf numFmtId="1" fontId="6" fillId="8" borderId="1" xfId="0" applyNumberFormat="1" applyFont="1" applyFill="1" applyBorder="1" applyAlignment="1">
      <alignment vertical="top" wrapText="1"/>
    </xf>
    <xf numFmtId="1" fontId="6" fillId="10" borderId="1" xfId="0" applyNumberFormat="1" applyFont="1" applyFill="1" applyBorder="1" applyAlignment="1">
      <alignment vertical="top"/>
    </xf>
    <xf numFmtId="1" fontId="7" fillId="3" borderId="1" xfId="0" applyNumberFormat="1" applyFont="1" applyFill="1" applyBorder="1" applyAlignment="1">
      <alignment vertical="top"/>
    </xf>
    <xf numFmtId="1" fontId="8" fillId="6" borderId="1" xfId="0" applyNumberFormat="1" applyFont="1" applyFill="1" applyBorder="1" applyAlignment="1">
      <alignment vertical="top"/>
    </xf>
    <xf numFmtId="1" fontId="7" fillId="7" borderId="1" xfId="0" applyNumberFormat="1" applyFont="1" applyFill="1" applyBorder="1" applyAlignment="1">
      <alignment vertical="top"/>
    </xf>
    <xf numFmtId="1" fontId="7" fillId="8" borderId="1" xfId="0" applyNumberFormat="1" applyFont="1" applyFill="1" applyBorder="1" applyAlignment="1">
      <alignment vertical="top"/>
    </xf>
    <xf numFmtId="1" fontId="7" fillId="4" borderId="1" xfId="0" applyNumberFormat="1" applyFont="1" applyFill="1" applyBorder="1" applyAlignment="1">
      <alignment vertical="top"/>
    </xf>
    <xf numFmtId="0" fontId="1" fillId="13" borderId="2" xfId="0" applyFont="1" applyFill="1" applyBorder="1" applyAlignment="1">
      <alignment horizontal="left" vertical="center" wrapText="1"/>
    </xf>
    <xf numFmtId="1" fontId="1" fillId="13" borderId="1" xfId="0" applyNumberFormat="1" applyFont="1" applyFill="1" applyBorder="1" applyAlignment="1">
      <alignment vertical="top"/>
    </xf>
    <xf numFmtId="0" fontId="1" fillId="11" borderId="2" xfId="0" applyFont="1" applyFill="1" applyBorder="1" applyAlignment="1">
      <alignment vertical="center" wrapText="1"/>
    </xf>
    <xf numFmtId="0" fontId="1" fillId="11" borderId="1" xfId="0" applyFont="1" applyFill="1" applyBorder="1" applyAlignment="1">
      <alignment vertical="center" wrapText="1"/>
    </xf>
    <xf numFmtId="0" fontId="1" fillId="12" borderId="1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textRotation="90" wrapText="1"/>
    </xf>
    <xf numFmtId="0" fontId="1" fillId="13" borderId="1" xfId="0" applyFont="1" applyFill="1" applyBorder="1" applyAlignment="1">
      <alignment horizontal="center" textRotation="90" wrapText="1"/>
    </xf>
    <xf numFmtId="1" fontId="1" fillId="11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textRotation="90"/>
    </xf>
    <xf numFmtId="0" fontId="9" fillId="0" borderId="1" xfId="0" applyFont="1" applyBorder="1" applyAlignment="1">
      <alignment vertical="center"/>
    </xf>
    <xf numFmtId="0" fontId="1" fillId="9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" fillId="9" borderId="1" xfId="0" applyFont="1" applyFill="1" applyBorder="1" applyAlignment="1">
      <alignment vertical="center" wrapText="1"/>
    </xf>
    <xf numFmtId="0" fontId="10" fillId="0" borderId="0" xfId="0" applyFont="1"/>
    <xf numFmtId="0" fontId="1" fillId="0" borderId="3" xfId="0" applyFont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vertical="top"/>
    </xf>
    <xf numFmtId="2" fontId="1" fillId="11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10" borderId="4" xfId="0" applyFont="1" applyFill="1" applyBorder="1" applyAlignment="1">
      <alignment horizontal="center" vertical="top"/>
    </xf>
    <xf numFmtId="0" fontId="1" fillId="10" borderId="20" xfId="0" applyFont="1" applyFill="1" applyBorder="1" applyAlignment="1">
      <alignment horizontal="center" vertical="top"/>
    </xf>
    <xf numFmtId="0" fontId="1" fillId="10" borderId="19" xfId="0" applyFont="1" applyFill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12" borderId="11" xfId="0" applyFont="1" applyFill="1" applyBorder="1" applyAlignment="1">
      <alignment horizontal="left" vertical="top" wrapText="1"/>
    </xf>
    <xf numFmtId="1" fontId="2" fillId="11" borderId="1" xfId="0" applyNumberFormat="1" applyFont="1" applyFill="1" applyBorder="1" applyAlignment="1">
      <alignment horizontal="center" vertical="top"/>
    </xf>
    <xf numFmtId="0" fontId="2" fillId="11" borderId="1" xfId="0" applyFont="1" applyFill="1" applyBorder="1" applyAlignment="1">
      <alignment horizontal="center" vertical="top"/>
    </xf>
    <xf numFmtId="0" fontId="1" fillId="12" borderId="10" xfId="0" applyFont="1" applyFill="1" applyBorder="1" applyAlignment="1">
      <alignment horizontal="left" vertical="top" wrapText="1"/>
    </xf>
    <xf numFmtId="0" fontId="1" fillId="12" borderId="1" xfId="0" applyFont="1" applyFill="1" applyBorder="1" applyAlignment="1">
      <alignment horizontal="left" vertical="top" wrapText="1"/>
    </xf>
    <xf numFmtId="0" fontId="1" fillId="12" borderId="1" xfId="0" applyFont="1" applyFill="1" applyBorder="1" applyAlignment="1">
      <alignment horizontal="left" vertical="top"/>
    </xf>
    <xf numFmtId="0" fontId="1" fillId="12" borderId="11" xfId="0" applyFont="1" applyFill="1" applyBorder="1" applyAlignment="1">
      <alignment horizontal="left" vertical="top"/>
    </xf>
    <xf numFmtId="0" fontId="1" fillId="4" borderId="10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/>
    </xf>
    <xf numFmtId="0" fontId="1" fillId="4" borderId="11" xfId="0" applyFont="1" applyFill="1" applyBorder="1" applyAlignment="1">
      <alignment horizontal="left" vertical="top"/>
    </xf>
    <xf numFmtId="0" fontId="4" fillId="11" borderId="8" xfId="0" applyFont="1" applyFill="1" applyBorder="1" applyAlignment="1">
      <alignment horizontal="right" vertical="top"/>
    </xf>
    <xf numFmtId="0" fontId="4" fillId="11" borderId="3" xfId="0" applyFont="1" applyFill="1" applyBorder="1" applyAlignment="1">
      <alignment horizontal="right" vertical="top"/>
    </xf>
    <xf numFmtId="0" fontId="1" fillId="7" borderId="1" xfId="0" applyFont="1" applyFill="1" applyBorder="1" applyAlignment="1">
      <alignment horizontal="left" vertical="top"/>
    </xf>
    <xf numFmtId="0" fontId="1" fillId="7" borderId="11" xfId="0" applyFont="1" applyFill="1" applyBorder="1" applyAlignment="1">
      <alignment horizontal="left" vertical="top"/>
    </xf>
    <xf numFmtId="0" fontId="1" fillId="13" borderId="1" xfId="0" applyFont="1" applyFill="1" applyBorder="1" applyAlignment="1">
      <alignment horizontal="left" vertical="top"/>
    </xf>
    <xf numFmtId="0" fontId="1" fillId="13" borderId="11" xfId="0" applyFont="1" applyFill="1" applyBorder="1" applyAlignment="1">
      <alignment horizontal="left" vertical="top"/>
    </xf>
    <xf numFmtId="0" fontId="1" fillId="8" borderId="1" xfId="0" applyFont="1" applyFill="1" applyBorder="1" applyAlignment="1">
      <alignment horizontal="left" vertical="top"/>
    </xf>
    <xf numFmtId="0" fontId="1" fillId="8" borderId="11" xfId="0" applyFont="1" applyFill="1" applyBorder="1" applyAlignment="1">
      <alignment horizontal="left" vertical="top"/>
    </xf>
    <xf numFmtId="0" fontId="1" fillId="12" borderId="1" xfId="0" applyFont="1" applyFill="1" applyBorder="1" applyAlignment="1">
      <alignment horizontal="center" vertical="top"/>
    </xf>
    <xf numFmtId="0" fontId="1" fillId="5" borderId="10" xfId="0" applyFont="1" applyFill="1" applyBorder="1" applyAlignment="1">
      <alignment horizontal="right" vertical="top"/>
    </xf>
    <xf numFmtId="0" fontId="1" fillId="5" borderId="1" xfId="0" applyFont="1" applyFill="1" applyBorder="1" applyAlignment="1">
      <alignment horizontal="right" vertical="top"/>
    </xf>
    <xf numFmtId="0" fontId="2" fillId="6" borderId="10" xfId="0" applyFont="1" applyFill="1" applyBorder="1" applyAlignment="1">
      <alignment horizontal="right" vertical="top"/>
    </xf>
    <xf numFmtId="0" fontId="2" fillId="6" borderId="1" xfId="0" applyFont="1" applyFill="1" applyBorder="1" applyAlignment="1">
      <alignment horizontal="right" vertical="top"/>
    </xf>
    <xf numFmtId="0" fontId="1" fillId="11" borderId="16" xfId="0" applyFont="1" applyFill="1" applyBorder="1" applyAlignment="1">
      <alignment horizontal="left" vertical="top" wrapText="1"/>
    </xf>
    <xf numFmtId="0" fontId="1" fillId="11" borderId="15" xfId="0" applyFont="1" applyFill="1" applyBorder="1" applyAlignment="1">
      <alignment horizontal="left" vertical="top" wrapText="1"/>
    </xf>
    <xf numFmtId="0" fontId="1" fillId="11" borderId="15" xfId="0" applyFont="1" applyFill="1" applyBorder="1" applyAlignment="1">
      <alignment horizontal="left" vertical="top"/>
    </xf>
    <xf numFmtId="0" fontId="1" fillId="11" borderId="14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1" fillId="9" borderId="12" xfId="0" applyFont="1" applyFill="1" applyBorder="1" applyAlignment="1">
      <alignment horizontal="left" vertical="top" wrapText="1"/>
    </xf>
    <xf numFmtId="0" fontId="1" fillId="9" borderId="2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6" borderId="10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8" borderId="10" xfId="0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left" vertical="top" wrapText="1"/>
    </xf>
    <xf numFmtId="0" fontId="1" fillId="13" borderId="10" xfId="0" applyFont="1" applyFill="1" applyBorder="1" applyAlignment="1">
      <alignment horizontal="left" vertical="top" wrapText="1"/>
    </xf>
    <xf numFmtId="0" fontId="1" fillId="13" borderId="1" xfId="0" applyFont="1" applyFill="1" applyBorder="1" applyAlignment="1">
      <alignment horizontal="left" vertical="top" wrapText="1"/>
    </xf>
    <xf numFmtId="0" fontId="1" fillId="9" borderId="2" xfId="0" applyFont="1" applyFill="1" applyBorder="1" applyAlignment="1">
      <alignment horizontal="left" vertical="top"/>
    </xf>
    <xf numFmtId="0" fontId="1" fillId="9" borderId="13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horizontal="left" vertical="top"/>
    </xf>
    <xf numFmtId="0" fontId="1" fillId="6" borderId="11" xfId="0" applyFont="1" applyFill="1" applyBorder="1" applyAlignment="1">
      <alignment horizontal="left" vertical="top"/>
    </xf>
    <xf numFmtId="0" fontId="1" fillId="10" borderId="10" xfId="0" applyFont="1" applyFill="1" applyBorder="1" applyAlignment="1">
      <alignment horizontal="left" vertical="top" wrapText="1"/>
    </xf>
    <xf numFmtId="0" fontId="1" fillId="10" borderId="1" xfId="0" applyFont="1" applyFill="1" applyBorder="1" applyAlignment="1">
      <alignment horizontal="left" vertical="top" wrapText="1"/>
    </xf>
    <xf numFmtId="0" fontId="1" fillId="10" borderId="1" xfId="0" applyFont="1" applyFill="1" applyBorder="1" applyAlignment="1">
      <alignment horizontal="left" vertical="top"/>
    </xf>
    <xf numFmtId="0" fontId="1" fillId="10" borderId="11" xfId="0" applyFont="1" applyFill="1" applyBorder="1" applyAlignment="1">
      <alignment horizontal="left" vertical="top"/>
    </xf>
    <xf numFmtId="0" fontId="4" fillId="12" borderId="5" xfId="0" applyFont="1" applyFill="1" applyBorder="1" applyAlignment="1">
      <alignment horizontal="center" vertical="top"/>
    </xf>
    <xf numFmtId="0" fontId="4" fillId="12" borderId="6" xfId="0" applyFont="1" applyFill="1" applyBorder="1" applyAlignment="1">
      <alignment horizontal="center" vertical="top"/>
    </xf>
    <xf numFmtId="0" fontId="4" fillId="12" borderId="7" xfId="0" applyFont="1" applyFill="1" applyBorder="1" applyAlignment="1">
      <alignment horizontal="center" vertical="top"/>
    </xf>
    <xf numFmtId="0" fontId="1" fillId="9" borderId="10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left" vertical="center"/>
    </xf>
    <xf numFmtId="2" fontId="1" fillId="12" borderId="1" xfId="0" applyNumberFormat="1" applyFont="1" applyFill="1" applyBorder="1" applyAlignment="1">
      <alignment horizontal="center" vertical="top"/>
    </xf>
    <xf numFmtId="0" fontId="1" fillId="11" borderId="2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top"/>
    </xf>
    <xf numFmtId="0" fontId="1" fillId="9" borderId="1" xfId="0" applyFont="1" applyFill="1" applyBorder="1" applyAlignment="1">
      <alignment horizontal="center" vertical="center"/>
    </xf>
    <xf numFmtId="0" fontId="1" fillId="12" borderId="9" xfId="0" applyFont="1" applyFill="1" applyBorder="1" applyAlignment="1">
      <alignment horizontal="left" vertical="top" wrapText="1"/>
    </xf>
    <xf numFmtId="0" fontId="1" fillId="12" borderId="17" xfId="0" applyFont="1" applyFill="1" applyBorder="1" applyAlignment="1">
      <alignment horizontal="left" vertical="top" wrapText="1"/>
    </xf>
    <xf numFmtId="0" fontId="1" fillId="12" borderId="13" xfId="0" applyFont="1" applyFill="1" applyBorder="1" applyAlignment="1">
      <alignment horizontal="left" vertical="top" wrapText="1"/>
    </xf>
    <xf numFmtId="0" fontId="1" fillId="9" borderId="8" xfId="0" applyFont="1" applyFill="1" applyBorder="1" applyAlignment="1">
      <alignment horizontal="left" vertical="top" wrapText="1"/>
    </xf>
    <xf numFmtId="0" fontId="1" fillId="9" borderId="23" xfId="0" applyFont="1" applyFill="1" applyBorder="1" applyAlignment="1">
      <alignment horizontal="left" vertical="top" wrapText="1"/>
    </xf>
    <xf numFmtId="0" fontId="1" fillId="9" borderId="3" xfId="0" applyFont="1" applyFill="1" applyBorder="1" applyAlignment="1">
      <alignment horizontal="left" vertical="top"/>
    </xf>
    <xf numFmtId="0" fontId="1" fillId="9" borderId="22" xfId="0" applyFont="1" applyFill="1" applyBorder="1" applyAlignment="1">
      <alignment horizontal="left" vertical="top"/>
    </xf>
    <xf numFmtId="0" fontId="7" fillId="12" borderId="1" xfId="0" applyFont="1" applyFill="1" applyBorder="1" applyAlignment="1">
      <alignment horizontal="center" vertical="top"/>
    </xf>
    <xf numFmtId="0" fontId="6" fillId="12" borderId="4" xfId="0" applyFont="1" applyFill="1" applyBorder="1" applyAlignment="1">
      <alignment horizontal="center" vertical="top"/>
    </xf>
    <xf numFmtId="0" fontId="6" fillId="12" borderId="20" xfId="0" applyFont="1" applyFill="1" applyBorder="1" applyAlignment="1">
      <alignment horizontal="center" vertical="top"/>
    </xf>
    <xf numFmtId="0" fontId="6" fillId="12" borderId="19" xfId="0" applyFont="1" applyFill="1" applyBorder="1" applyAlignment="1">
      <alignment horizontal="center" vertical="top"/>
    </xf>
    <xf numFmtId="0" fontId="6" fillId="12" borderId="1" xfId="0" applyFont="1" applyFill="1" applyBorder="1" applyAlignment="1">
      <alignment horizontal="center" vertical="top"/>
    </xf>
    <xf numFmtId="2" fontId="6" fillId="12" borderId="4" xfId="0" applyNumberFormat="1" applyFont="1" applyFill="1" applyBorder="1" applyAlignment="1">
      <alignment horizontal="center" vertical="top"/>
    </xf>
    <xf numFmtId="2" fontId="6" fillId="12" borderId="20" xfId="0" applyNumberFormat="1" applyFont="1" applyFill="1" applyBorder="1" applyAlignment="1">
      <alignment horizontal="center" vertical="top"/>
    </xf>
    <xf numFmtId="2" fontId="6" fillId="12" borderId="19" xfId="0" applyNumberFormat="1" applyFont="1" applyFill="1" applyBorder="1" applyAlignment="1">
      <alignment horizontal="center" vertical="top"/>
    </xf>
    <xf numFmtId="0" fontId="1" fillId="9" borderId="1" xfId="0" applyFont="1" applyFill="1" applyBorder="1" applyAlignment="1">
      <alignment horizontal="left" vertical="center" wrapText="1"/>
    </xf>
    <xf numFmtId="0" fontId="1" fillId="12" borderId="9" xfId="0" applyFont="1" applyFill="1" applyBorder="1" applyAlignment="1">
      <alignment horizontal="center" vertical="top" wrapText="1"/>
    </xf>
    <xf numFmtId="0" fontId="1" fillId="12" borderId="17" xfId="0" applyFont="1" applyFill="1" applyBorder="1" applyAlignment="1">
      <alignment horizontal="center" vertical="top" wrapText="1"/>
    </xf>
    <xf numFmtId="0" fontId="1" fillId="12" borderId="13" xfId="0" applyFont="1" applyFill="1" applyBorder="1" applyAlignment="1">
      <alignment horizontal="center" vertical="top" wrapText="1"/>
    </xf>
    <xf numFmtId="14" fontId="4" fillId="12" borderId="24" xfId="0" applyNumberFormat="1" applyFont="1" applyFill="1" applyBorder="1" applyAlignment="1">
      <alignment horizontal="center" vertical="top"/>
    </xf>
    <xf numFmtId="14" fontId="4" fillId="12" borderId="25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134F5-2B47-4D4C-80D4-5EA3ABDB2948}">
  <dimension ref="A1:M24"/>
  <sheetViews>
    <sheetView tabSelected="1" zoomScale="75" zoomScaleNormal="75" workbookViewId="0">
      <selection activeCell="S2" sqref="S2"/>
    </sheetView>
  </sheetViews>
  <sheetFormatPr defaultRowHeight="18.5" x14ac:dyDescent="0.45"/>
  <cols>
    <col min="1" max="1" width="39.54296875" style="61" customWidth="1"/>
    <col min="2" max="4" width="8.6328125" style="61" customWidth="1"/>
    <col min="5" max="7" width="8.7265625" style="61"/>
    <col min="8" max="8" width="6.81640625" style="61" customWidth="1"/>
    <col min="9" max="12" width="8.7265625" style="61"/>
    <col min="13" max="13" width="11.453125" style="61" customWidth="1"/>
  </cols>
  <sheetData>
    <row r="1" spans="1:13" x14ac:dyDescent="0.35">
      <c r="A1" s="69" t="s">
        <v>120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171.5" x14ac:dyDescent="0.35">
      <c r="A2" s="55" t="s">
        <v>95</v>
      </c>
      <c r="B2" s="56" t="s">
        <v>108</v>
      </c>
      <c r="C2" s="52" t="s">
        <v>109</v>
      </c>
      <c r="D2" s="52" t="s">
        <v>110</v>
      </c>
      <c r="E2" s="52" t="s">
        <v>85</v>
      </c>
      <c r="F2" s="52" t="s">
        <v>86</v>
      </c>
      <c r="G2" s="52" t="s">
        <v>87</v>
      </c>
      <c r="H2" s="52" t="s">
        <v>88</v>
      </c>
      <c r="I2" s="53" t="s">
        <v>89</v>
      </c>
      <c r="J2" s="52" t="s">
        <v>90</v>
      </c>
      <c r="K2" s="52" t="s">
        <v>111</v>
      </c>
      <c r="L2" s="52" t="s">
        <v>112</v>
      </c>
      <c r="M2" s="52" t="s">
        <v>91</v>
      </c>
    </row>
    <row r="3" spans="1:13" x14ac:dyDescent="0.35">
      <c r="A3" s="57" t="s">
        <v>96</v>
      </c>
      <c r="B3" s="58">
        <v>13.92</v>
      </c>
      <c r="C3" s="58">
        <v>6.96</v>
      </c>
      <c r="D3" s="58">
        <v>6.96</v>
      </c>
      <c r="E3" s="11">
        <v>16</v>
      </c>
      <c r="F3" s="11">
        <v>16</v>
      </c>
      <c r="G3" s="11"/>
      <c r="H3" s="11"/>
      <c r="I3" s="48"/>
      <c r="J3" s="11">
        <f>K3*4</f>
        <v>24</v>
      </c>
      <c r="K3" s="11">
        <v>6</v>
      </c>
      <c r="L3" s="4">
        <f>SUM(E3:J3)</f>
        <v>56</v>
      </c>
      <c r="M3" s="70" t="s">
        <v>97</v>
      </c>
    </row>
    <row r="4" spans="1:13" ht="52.5" x14ac:dyDescent="0.35">
      <c r="A4" s="59" t="s">
        <v>116</v>
      </c>
      <c r="B4" s="60">
        <v>13.24</v>
      </c>
      <c r="C4" s="60">
        <v>6.62</v>
      </c>
      <c r="D4" s="60">
        <v>6.62</v>
      </c>
      <c r="E4" s="11">
        <v>12</v>
      </c>
      <c r="F4" s="11">
        <v>12</v>
      </c>
      <c r="G4" s="11"/>
      <c r="H4" s="11">
        <v>85</v>
      </c>
      <c r="I4" s="48">
        <v>21</v>
      </c>
      <c r="J4" s="11"/>
      <c r="K4" s="11"/>
      <c r="L4" s="4">
        <f t="shared" ref="L4:L13" si="0">SUM(E4:J4)</f>
        <v>130</v>
      </c>
      <c r="M4" s="71"/>
    </row>
    <row r="5" spans="1:13" x14ac:dyDescent="0.35">
      <c r="A5" s="57" t="s">
        <v>98</v>
      </c>
      <c r="B5" s="58">
        <v>19.75</v>
      </c>
      <c r="C5" s="58"/>
      <c r="D5" s="58">
        <v>19.75</v>
      </c>
      <c r="E5" s="11"/>
      <c r="F5" s="11"/>
      <c r="G5" s="11"/>
      <c r="H5" s="11">
        <v>256</v>
      </c>
      <c r="I5" s="48"/>
      <c r="J5" s="11">
        <f t="shared" ref="J5:J15" si="1">K5*4</f>
        <v>0</v>
      </c>
      <c r="K5" s="11"/>
      <c r="L5" s="4">
        <f t="shared" si="0"/>
        <v>256</v>
      </c>
      <c r="M5" s="54">
        <f>SUM(L3:L5)</f>
        <v>442</v>
      </c>
    </row>
    <row r="6" spans="1:13" x14ac:dyDescent="0.35">
      <c r="A6" s="57" t="s">
        <v>99</v>
      </c>
      <c r="B6" s="6">
        <v>2.15</v>
      </c>
      <c r="C6" s="6">
        <f>B6*0.5</f>
        <v>1.075</v>
      </c>
      <c r="D6" s="6">
        <f>B6*0.5</f>
        <v>1.075</v>
      </c>
      <c r="E6" s="11"/>
      <c r="F6" s="11"/>
      <c r="G6" s="11"/>
      <c r="H6" s="11"/>
      <c r="I6" s="48"/>
      <c r="J6" s="11">
        <f t="shared" si="1"/>
        <v>16</v>
      </c>
      <c r="K6" s="11">
        <v>4</v>
      </c>
      <c r="L6" s="4">
        <f t="shared" si="0"/>
        <v>16</v>
      </c>
      <c r="M6" s="62" t="s">
        <v>113</v>
      </c>
    </row>
    <row r="7" spans="1:13" x14ac:dyDescent="0.35">
      <c r="A7" s="57" t="s">
        <v>100</v>
      </c>
      <c r="B7" s="6">
        <v>3.12</v>
      </c>
      <c r="C7" s="6">
        <f>B7*0.5</f>
        <v>1.56</v>
      </c>
      <c r="D7" s="6">
        <f>B7*0.5</f>
        <v>1.56</v>
      </c>
      <c r="E7" s="11"/>
      <c r="F7" s="11"/>
      <c r="G7" s="11"/>
      <c r="H7" s="11"/>
      <c r="I7" s="48"/>
      <c r="J7" s="11">
        <f t="shared" si="1"/>
        <v>16</v>
      </c>
      <c r="K7" s="11">
        <v>4</v>
      </c>
      <c r="L7" s="4">
        <f t="shared" si="0"/>
        <v>16</v>
      </c>
      <c r="M7" s="54">
        <f>SUM(L6:L7)</f>
        <v>32</v>
      </c>
    </row>
    <row r="8" spans="1:13" x14ac:dyDescent="0.35">
      <c r="A8" s="57" t="s">
        <v>101</v>
      </c>
      <c r="B8" s="6">
        <v>45.7</v>
      </c>
      <c r="C8" s="6">
        <f>B8*0.5</f>
        <v>22.85</v>
      </c>
      <c r="D8" s="6">
        <f>B8*0.5</f>
        <v>22.85</v>
      </c>
      <c r="E8" s="11">
        <v>30</v>
      </c>
      <c r="F8" s="11">
        <v>45</v>
      </c>
      <c r="G8" s="11">
        <v>30</v>
      </c>
      <c r="H8" s="11"/>
      <c r="I8" s="48"/>
      <c r="J8" s="11">
        <f t="shared" si="1"/>
        <v>40</v>
      </c>
      <c r="K8" s="11">
        <v>10</v>
      </c>
      <c r="L8" s="4">
        <f t="shared" si="0"/>
        <v>145</v>
      </c>
      <c r="M8" s="70" t="s">
        <v>92</v>
      </c>
    </row>
    <row r="9" spans="1:13" x14ac:dyDescent="0.35">
      <c r="A9" s="57" t="s">
        <v>102</v>
      </c>
      <c r="B9" s="6">
        <v>7</v>
      </c>
      <c r="C9" s="6">
        <f>B9*0.5</f>
        <v>3.5</v>
      </c>
      <c r="D9" s="6">
        <f>B9*0.5</f>
        <v>3.5</v>
      </c>
      <c r="E9" s="11">
        <v>8</v>
      </c>
      <c r="F9" s="11">
        <v>8</v>
      </c>
      <c r="G9" s="11"/>
      <c r="H9" s="11"/>
      <c r="I9" s="48"/>
      <c r="J9" s="11">
        <f t="shared" si="1"/>
        <v>12</v>
      </c>
      <c r="K9" s="11">
        <v>3</v>
      </c>
      <c r="L9" s="4">
        <f t="shared" si="0"/>
        <v>28</v>
      </c>
      <c r="M9" s="72"/>
    </row>
    <row r="10" spans="1:13" x14ac:dyDescent="0.35">
      <c r="A10" s="57" t="s">
        <v>34</v>
      </c>
      <c r="B10" s="6">
        <v>12.83</v>
      </c>
      <c r="C10" s="6">
        <f>B10*0.64</f>
        <v>8.2111999999999998</v>
      </c>
      <c r="D10" s="6">
        <f>B10*0.35</f>
        <v>4.4904999999999999</v>
      </c>
      <c r="E10" s="11">
        <v>12</v>
      </c>
      <c r="F10" s="11">
        <v>10</v>
      </c>
      <c r="G10" s="11"/>
      <c r="H10" s="11"/>
      <c r="I10" s="48"/>
      <c r="J10" s="11">
        <f t="shared" si="1"/>
        <v>28</v>
      </c>
      <c r="K10" s="11">
        <v>7</v>
      </c>
      <c r="L10" s="4">
        <f t="shared" si="0"/>
        <v>50</v>
      </c>
      <c r="M10" s="54">
        <f>SUM(L8:L10)</f>
        <v>223</v>
      </c>
    </row>
    <row r="11" spans="1:13" x14ac:dyDescent="0.35">
      <c r="A11" s="57" t="s">
        <v>38</v>
      </c>
      <c r="B11" s="6">
        <v>11.6</v>
      </c>
      <c r="C11" s="6">
        <f>B11*0.5</f>
        <v>5.8</v>
      </c>
      <c r="D11" s="6">
        <f>B11*0.5</f>
        <v>5.8</v>
      </c>
      <c r="E11" s="11">
        <v>12</v>
      </c>
      <c r="F11" s="11">
        <v>10</v>
      </c>
      <c r="G11" s="11"/>
      <c r="H11" s="11"/>
      <c r="I11" s="48"/>
      <c r="J11" s="11">
        <f t="shared" si="1"/>
        <v>28</v>
      </c>
      <c r="K11" s="11">
        <v>7</v>
      </c>
      <c r="L11" s="4">
        <f t="shared" si="0"/>
        <v>50</v>
      </c>
      <c r="M11" s="73" t="s">
        <v>93</v>
      </c>
    </row>
    <row r="12" spans="1:13" x14ac:dyDescent="0.35">
      <c r="A12" s="57" t="s">
        <v>60</v>
      </c>
      <c r="B12" s="6">
        <v>1.5</v>
      </c>
      <c r="C12" s="6">
        <f>B12*0.25</f>
        <v>0.375</v>
      </c>
      <c r="D12" s="6">
        <f>B12*0.75</f>
        <v>1.125</v>
      </c>
      <c r="E12" s="11"/>
      <c r="F12" s="11">
        <v>8</v>
      </c>
      <c r="G12" s="11"/>
      <c r="H12" s="11"/>
      <c r="I12" s="48"/>
      <c r="J12" s="11"/>
      <c r="K12" s="11"/>
      <c r="L12" s="4">
        <f t="shared" si="0"/>
        <v>8</v>
      </c>
      <c r="M12" s="74"/>
    </row>
    <row r="13" spans="1:13" x14ac:dyDescent="0.35">
      <c r="A13" s="57" t="s">
        <v>103</v>
      </c>
      <c r="B13" s="6">
        <v>7.31</v>
      </c>
      <c r="C13" s="6">
        <f>B13*0.25</f>
        <v>1.8274999999999999</v>
      </c>
      <c r="D13" s="6">
        <f>B13*0.75</f>
        <v>5.4824999999999999</v>
      </c>
      <c r="E13" s="11">
        <v>12</v>
      </c>
      <c r="F13" s="11">
        <v>8</v>
      </c>
      <c r="G13" s="11"/>
      <c r="H13" s="11"/>
      <c r="I13" s="48"/>
      <c r="J13" s="11">
        <f t="shared" si="1"/>
        <v>12</v>
      </c>
      <c r="K13" s="11">
        <v>3</v>
      </c>
      <c r="L13" s="4">
        <f t="shared" si="0"/>
        <v>32</v>
      </c>
      <c r="M13" s="74"/>
    </row>
    <row r="14" spans="1:13" x14ac:dyDescent="0.35">
      <c r="A14" s="57" t="s">
        <v>64</v>
      </c>
      <c r="B14" s="6">
        <v>9.2200000000000006</v>
      </c>
      <c r="C14" s="6">
        <f>B14*0.5</f>
        <v>4.6100000000000003</v>
      </c>
      <c r="D14" s="6">
        <f>B14*0.5</f>
        <v>4.6100000000000003</v>
      </c>
      <c r="E14" s="11">
        <v>12</v>
      </c>
      <c r="F14" s="11">
        <v>15</v>
      </c>
      <c r="G14" s="11"/>
      <c r="H14" s="11"/>
      <c r="I14" s="48"/>
      <c r="J14" s="11">
        <f t="shared" si="1"/>
        <v>4</v>
      </c>
      <c r="K14" s="11">
        <v>1</v>
      </c>
      <c r="L14" s="4">
        <f t="shared" ref="L14" si="2">SUM(E14:J14)</f>
        <v>31</v>
      </c>
      <c r="M14" s="75"/>
    </row>
    <row r="15" spans="1:13" x14ac:dyDescent="0.35">
      <c r="A15" s="57" t="s">
        <v>63</v>
      </c>
      <c r="B15" s="6">
        <v>5.14</v>
      </c>
      <c r="C15" s="6">
        <f>B15*0.25</f>
        <v>1.2849999999999999</v>
      </c>
      <c r="D15" s="6">
        <f>B15*0.75</f>
        <v>3.8549999999999995</v>
      </c>
      <c r="E15" s="11">
        <v>6</v>
      </c>
      <c r="F15" s="11">
        <v>8</v>
      </c>
      <c r="G15" s="11"/>
      <c r="H15" s="11"/>
      <c r="I15" s="48"/>
      <c r="J15" s="11">
        <f t="shared" si="1"/>
        <v>12</v>
      </c>
      <c r="K15" s="11">
        <v>3</v>
      </c>
      <c r="L15" s="4">
        <f>SUM(E15:J15)</f>
        <v>26</v>
      </c>
      <c r="M15" s="54">
        <f>SUM(L11:L15)</f>
        <v>147</v>
      </c>
    </row>
    <row r="16" spans="1:13" x14ac:dyDescent="0.35">
      <c r="A16" s="57" t="s">
        <v>68</v>
      </c>
      <c r="B16" s="6">
        <v>1.1399999999999999</v>
      </c>
      <c r="C16" s="6">
        <f>B16*0.5</f>
        <v>0.56999999999999995</v>
      </c>
      <c r="D16" s="6">
        <f>B16*0.5</f>
        <v>0.56999999999999995</v>
      </c>
      <c r="E16" s="11"/>
      <c r="F16" s="11">
        <v>4</v>
      </c>
      <c r="G16" s="11"/>
      <c r="H16" s="11"/>
      <c r="I16" s="48"/>
      <c r="J16" s="11"/>
      <c r="K16" s="11"/>
      <c r="L16" s="4">
        <f t="shared" ref="L16:L20" si="3">SUM(E16:J16)</f>
        <v>4</v>
      </c>
      <c r="M16" s="76" t="s">
        <v>94</v>
      </c>
    </row>
    <row r="17" spans="1:13" x14ac:dyDescent="0.35">
      <c r="A17" s="57" t="s">
        <v>78</v>
      </c>
      <c r="B17" s="6">
        <v>0.84</v>
      </c>
      <c r="C17" s="6">
        <f>B17*0.5</f>
        <v>0.42</v>
      </c>
      <c r="D17" s="6">
        <f>B17*0.5</f>
        <v>0.42</v>
      </c>
      <c r="E17" s="11"/>
      <c r="F17" s="11">
        <v>3</v>
      </c>
      <c r="G17" s="11"/>
      <c r="H17" s="11"/>
      <c r="I17" s="48"/>
      <c r="J17" s="11"/>
      <c r="K17" s="11"/>
      <c r="L17" s="4">
        <f t="shared" si="3"/>
        <v>3</v>
      </c>
      <c r="M17" s="76"/>
    </row>
    <row r="18" spans="1:13" ht="24.5" customHeight="1" x14ac:dyDescent="0.35">
      <c r="A18" s="57" t="s">
        <v>83</v>
      </c>
      <c r="B18" s="6">
        <v>4.8499999999999996</v>
      </c>
      <c r="C18" s="6">
        <f>B18*0.5</f>
        <v>2.4249999999999998</v>
      </c>
      <c r="D18" s="6">
        <f>B18*0.5</f>
        <v>2.4249999999999998</v>
      </c>
      <c r="E18" s="11">
        <v>12</v>
      </c>
      <c r="F18" s="11"/>
      <c r="G18" s="11"/>
      <c r="H18" s="11"/>
      <c r="I18" s="48"/>
      <c r="J18" s="11"/>
      <c r="K18" s="11"/>
      <c r="L18" s="4">
        <f t="shared" si="3"/>
        <v>12</v>
      </c>
      <c r="M18" s="76"/>
    </row>
    <row r="19" spans="1:13" ht="24.5" customHeight="1" x14ac:dyDescent="0.35">
      <c r="A19" s="57" t="s">
        <v>79</v>
      </c>
      <c r="B19" s="6">
        <v>6.2</v>
      </c>
      <c r="C19" s="6">
        <f>B19*0.5</f>
        <v>3.1</v>
      </c>
      <c r="D19" s="6">
        <f>B19*0.5</f>
        <v>3.1</v>
      </c>
      <c r="E19" s="11">
        <v>16</v>
      </c>
      <c r="F19" s="11"/>
      <c r="G19" s="11"/>
      <c r="H19" s="11"/>
      <c r="I19" s="48"/>
      <c r="J19" s="11"/>
      <c r="K19" s="11"/>
      <c r="L19" s="4">
        <f t="shared" si="3"/>
        <v>16</v>
      </c>
      <c r="M19" s="76"/>
    </row>
    <row r="20" spans="1:13" ht="24.5" customHeight="1" x14ac:dyDescent="0.35">
      <c r="A20" s="57" t="s">
        <v>39</v>
      </c>
      <c r="B20" s="6">
        <v>87.14</v>
      </c>
      <c r="C20" s="6">
        <f>B20*0.75</f>
        <v>65.355000000000004</v>
      </c>
      <c r="D20" s="6">
        <f>B20*0.25</f>
        <v>21.785</v>
      </c>
      <c r="E20" s="11"/>
      <c r="F20" s="11">
        <v>24</v>
      </c>
      <c r="G20" s="11">
        <v>49</v>
      </c>
      <c r="H20" s="11"/>
      <c r="I20" s="48"/>
      <c r="J20" s="11"/>
      <c r="K20" s="11"/>
      <c r="L20" s="4">
        <f t="shared" si="3"/>
        <v>73</v>
      </c>
      <c r="M20" s="54">
        <f>SUM(L16:L20)</f>
        <v>108</v>
      </c>
    </row>
    <row r="21" spans="1:13" ht="24.5" customHeight="1" x14ac:dyDescent="0.35">
      <c r="A21" s="4" t="s">
        <v>104</v>
      </c>
      <c r="B21" s="6">
        <f>SUM(B3:B20)</f>
        <v>252.64999999999998</v>
      </c>
      <c r="C21" s="6">
        <f>SUM(C3:C20)</f>
        <v>136.5437</v>
      </c>
      <c r="D21" s="6">
        <f>SUM(D3:D20)</f>
        <v>115.97799999999999</v>
      </c>
      <c r="E21" s="4">
        <f t="shared" ref="E21:L21" si="4">SUM(E3:E20)</f>
        <v>148</v>
      </c>
      <c r="F21" s="4">
        <f t="shared" si="4"/>
        <v>171</v>
      </c>
      <c r="G21" s="4">
        <f t="shared" si="4"/>
        <v>79</v>
      </c>
      <c r="H21" s="4">
        <f t="shared" si="4"/>
        <v>341</v>
      </c>
      <c r="I21" s="4">
        <f t="shared" si="4"/>
        <v>21</v>
      </c>
      <c r="J21" s="4">
        <f t="shared" si="4"/>
        <v>192</v>
      </c>
      <c r="K21" s="4">
        <f t="shared" si="4"/>
        <v>48</v>
      </c>
      <c r="L21" s="4">
        <f t="shared" si="4"/>
        <v>952</v>
      </c>
      <c r="M21" s="54">
        <f>M5+M7+M10+M15+M20</f>
        <v>952</v>
      </c>
    </row>
    <row r="22" spans="1:13" x14ac:dyDescent="0.3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</row>
    <row r="23" spans="1:13" x14ac:dyDescent="0.35">
      <c r="A23" s="4">
        <f>E21+F21</f>
        <v>319</v>
      </c>
      <c r="B23" s="66" t="s">
        <v>114</v>
      </c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8"/>
    </row>
    <row r="24" spans="1:13" x14ac:dyDescent="0.35">
      <c r="A24" s="64">
        <f>A23/M21</f>
        <v>0.33508403361344535</v>
      </c>
      <c r="B24" s="66" t="s">
        <v>117</v>
      </c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8"/>
    </row>
  </sheetData>
  <mergeCells count="8">
    <mergeCell ref="A22:M22"/>
    <mergeCell ref="B23:M23"/>
    <mergeCell ref="B24:M24"/>
    <mergeCell ref="A1:M1"/>
    <mergeCell ref="M3:M4"/>
    <mergeCell ref="M8:M9"/>
    <mergeCell ref="M11:M14"/>
    <mergeCell ref="M16:M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827C0-94A4-4E6E-B682-33F2701965A1}">
  <dimension ref="A1:P29"/>
  <sheetViews>
    <sheetView zoomScale="75" zoomScaleNormal="75" workbookViewId="0">
      <selection activeCell="P3" sqref="P3"/>
    </sheetView>
  </sheetViews>
  <sheetFormatPr defaultRowHeight="18.5" x14ac:dyDescent="0.35"/>
  <cols>
    <col min="1" max="1" width="30.26953125" style="19" customWidth="1"/>
    <col min="2" max="2" width="23.54296875" style="2" customWidth="1"/>
    <col min="3" max="3" width="12.90625" style="2" customWidth="1"/>
    <col min="4" max="4" width="11.1796875" style="2" customWidth="1"/>
    <col min="5" max="5" width="13" style="2" customWidth="1"/>
    <col min="6" max="6" width="15.81640625" style="2" customWidth="1"/>
    <col min="7" max="7" width="16" style="2" customWidth="1"/>
    <col min="8" max="8" width="10.90625" style="2" customWidth="1"/>
    <col min="9" max="11" width="12.6328125" style="2" customWidth="1"/>
    <col min="12" max="12" width="14.08984375" style="2" customWidth="1"/>
    <col min="13" max="14" width="12.6328125" style="2" customWidth="1"/>
    <col min="15" max="15" width="7.7265625" style="2" customWidth="1"/>
    <col min="16" max="16" width="42.54296875" style="2" customWidth="1"/>
    <col min="17" max="16384" width="8.7265625" style="2"/>
  </cols>
  <sheetData>
    <row r="1" spans="1:16" ht="24" thickBot="1" x14ac:dyDescent="0.4">
      <c r="A1" s="130" t="s">
        <v>53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/>
      <c r="P1" s="159">
        <v>45775</v>
      </c>
    </row>
    <row r="2" spans="1:16" ht="24" thickBot="1" x14ac:dyDescent="0.4">
      <c r="A2" s="130" t="s">
        <v>81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2"/>
      <c r="P2" s="160"/>
    </row>
    <row r="3" spans="1:16" s="19" customFormat="1" ht="191" customHeight="1" x14ac:dyDescent="0.45">
      <c r="A3" s="27" t="s">
        <v>15</v>
      </c>
      <c r="B3" s="28" t="s">
        <v>11</v>
      </c>
      <c r="C3" s="28" t="s">
        <v>1</v>
      </c>
      <c r="D3" s="29" t="s">
        <v>6</v>
      </c>
      <c r="E3" s="30" t="s">
        <v>14</v>
      </c>
      <c r="F3" s="31" t="s">
        <v>72</v>
      </c>
      <c r="G3" s="32" t="s">
        <v>20</v>
      </c>
      <c r="H3" s="33" t="s">
        <v>4</v>
      </c>
      <c r="I3" s="34" t="s">
        <v>58</v>
      </c>
      <c r="J3" s="34" t="s">
        <v>56</v>
      </c>
      <c r="K3" s="47" t="s">
        <v>59</v>
      </c>
      <c r="L3" s="34" t="s">
        <v>105</v>
      </c>
      <c r="M3" s="34" t="s">
        <v>55</v>
      </c>
      <c r="N3" s="34" t="s">
        <v>57</v>
      </c>
      <c r="O3" s="136" t="s">
        <v>7</v>
      </c>
      <c r="P3" s="25" t="s">
        <v>2</v>
      </c>
    </row>
    <row r="4" spans="1:16" ht="18" customHeight="1" x14ac:dyDescent="0.35">
      <c r="A4" s="133" t="s">
        <v>107</v>
      </c>
      <c r="B4" s="134" t="s">
        <v>3</v>
      </c>
      <c r="C4" s="134" t="s">
        <v>0</v>
      </c>
      <c r="D4" s="96" t="s">
        <v>8</v>
      </c>
      <c r="E4" s="96"/>
      <c r="F4" s="96"/>
      <c r="G4" s="22" t="s">
        <v>17</v>
      </c>
      <c r="H4" s="96" t="s">
        <v>13</v>
      </c>
      <c r="I4" s="96"/>
      <c r="J4" s="96"/>
      <c r="K4" s="96"/>
      <c r="L4" s="96"/>
      <c r="M4" s="96"/>
      <c r="N4" s="96"/>
      <c r="O4" s="137"/>
      <c r="P4" s="77" t="s">
        <v>46</v>
      </c>
    </row>
    <row r="5" spans="1:16" ht="18" customHeight="1" x14ac:dyDescent="0.35">
      <c r="A5" s="133"/>
      <c r="B5" s="134"/>
      <c r="C5" s="134"/>
      <c r="D5" s="6">
        <f>3.2+10.72</f>
        <v>13.920000000000002</v>
      </c>
      <c r="E5" s="7">
        <f>D5*0.5</f>
        <v>6.9600000000000009</v>
      </c>
      <c r="F5" s="8">
        <f>D5*0.5</f>
        <v>6.9600000000000009</v>
      </c>
      <c r="G5" s="9">
        <f>G7/22</f>
        <v>4852.7272727272757</v>
      </c>
      <c r="H5" s="10"/>
      <c r="I5" s="11">
        <v>16</v>
      </c>
      <c r="J5" s="11">
        <v>16</v>
      </c>
      <c r="K5" s="11"/>
      <c r="L5" s="11"/>
      <c r="M5" s="11"/>
      <c r="N5" s="11">
        <v>6</v>
      </c>
      <c r="O5" s="4">
        <f>SUM(I5:M5)+(N5*4)</f>
        <v>56</v>
      </c>
      <c r="P5" s="77"/>
    </row>
    <row r="6" spans="1:16" ht="18" customHeight="1" x14ac:dyDescent="0.35">
      <c r="A6" s="133"/>
      <c r="B6" s="134"/>
      <c r="C6" s="134"/>
      <c r="D6" s="135" t="s">
        <v>10</v>
      </c>
      <c r="E6" s="135"/>
      <c r="F6" s="135"/>
      <c r="G6" s="135"/>
      <c r="H6" s="138" t="s">
        <v>9</v>
      </c>
      <c r="I6" s="138"/>
      <c r="J6" s="138"/>
      <c r="K6" s="138"/>
      <c r="L6" s="138"/>
      <c r="M6" s="138"/>
      <c r="N6" s="138"/>
      <c r="O6" s="21"/>
      <c r="P6" s="77"/>
    </row>
    <row r="7" spans="1:16" ht="18" customHeight="1" x14ac:dyDescent="0.35">
      <c r="A7" s="97" t="s">
        <v>16</v>
      </c>
      <c r="B7" s="98"/>
      <c r="C7" s="98"/>
      <c r="D7" s="3">
        <f>466963+139392</f>
        <v>606355</v>
      </c>
      <c r="E7" s="12">
        <f>E5*43500</f>
        <v>302760.00000000006</v>
      </c>
      <c r="F7" s="5">
        <f>F5*43500</f>
        <v>302760.00000000006</v>
      </c>
      <c r="G7" s="13">
        <f>F7-H7</f>
        <v>106760.00000000006</v>
      </c>
      <c r="H7" s="14">
        <f>SUM(I7:N7)</f>
        <v>196000</v>
      </c>
      <c r="I7" s="15">
        <f>I5*3500</f>
        <v>56000</v>
      </c>
      <c r="J7" s="15">
        <f>J5*5000</f>
        <v>80000</v>
      </c>
      <c r="K7" s="15"/>
      <c r="L7" s="15"/>
      <c r="M7" s="15">
        <f>M5*7000</f>
        <v>0</v>
      </c>
      <c r="N7" s="15">
        <f>N5*10000</f>
        <v>60000</v>
      </c>
      <c r="O7" s="17"/>
      <c r="P7" s="77"/>
    </row>
    <row r="8" spans="1:16" ht="18" hidden="1" customHeight="1" x14ac:dyDescent="0.35">
      <c r="A8" s="99" t="s">
        <v>5</v>
      </c>
      <c r="B8" s="100"/>
      <c r="C8" s="100"/>
      <c r="D8" s="100"/>
      <c r="E8" s="100"/>
      <c r="F8" s="100"/>
      <c r="G8" s="78">
        <f>G7+H7</f>
        <v>302760.00000000006</v>
      </c>
      <c r="H8" s="79"/>
      <c r="I8" s="1"/>
      <c r="J8" s="1"/>
      <c r="K8" s="1"/>
      <c r="L8" s="1"/>
      <c r="M8" s="1"/>
      <c r="N8" s="1"/>
      <c r="O8" s="18"/>
      <c r="P8" s="77"/>
    </row>
    <row r="9" spans="1:16" ht="18" customHeight="1" x14ac:dyDescent="0.35">
      <c r="A9" s="133" t="s">
        <v>106</v>
      </c>
      <c r="B9" s="139" t="s">
        <v>3</v>
      </c>
      <c r="C9" s="134" t="s">
        <v>0</v>
      </c>
      <c r="D9" s="96" t="s">
        <v>8</v>
      </c>
      <c r="E9" s="96"/>
      <c r="F9" s="96"/>
      <c r="G9" s="22" t="s">
        <v>17</v>
      </c>
      <c r="H9" s="96" t="s">
        <v>45</v>
      </c>
      <c r="I9" s="96"/>
      <c r="J9" s="96"/>
      <c r="K9" s="96"/>
      <c r="L9" s="96"/>
      <c r="M9" s="96"/>
      <c r="N9" s="96"/>
      <c r="O9" s="18"/>
      <c r="P9" s="77" t="s">
        <v>75</v>
      </c>
    </row>
    <row r="10" spans="1:16" ht="18" customHeight="1" x14ac:dyDescent="0.35">
      <c r="A10" s="133"/>
      <c r="B10" s="139"/>
      <c r="C10" s="134"/>
      <c r="D10" s="6">
        <f>3.3+4.8+3.48+1.66</f>
        <v>13.24</v>
      </c>
      <c r="E10" s="7">
        <f>D10*0.5</f>
        <v>6.62</v>
      </c>
      <c r="F10" s="8">
        <f>D10*0.5</f>
        <v>6.62</v>
      </c>
      <c r="G10" s="9">
        <f>G12/22</f>
        <v>4635</v>
      </c>
      <c r="H10" s="10"/>
      <c r="I10" s="11">
        <v>12</v>
      </c>
      <c r="J10" s="11">
        <v>12</v>
      </c>
      <c r="K10" s="48">
        <v>21</v>
      </c>
      <c r="L10" s="11">
        <v>85</v>
      </c>
      <c r="M10" s="11"/>
      <c r="N10" s="11"/>
      <c r="O10" s="4">
        <f>SUM(I10:N10)</f>
        <v>130</v>
      </c>
      <c r="P10" s="77"/>
    </row>
    <row r="11" spans="1:16" ht="18" customHeight="1" x14ac:dyDescent="0.35">
      <c r="A11" s="133"/>
      <c r="B11" s="139"/>
      <c r="C11" s="134"/>
      <c r="D11" s="135" t="s">
        <v>10</v>
      </c>
      <c r="E11" s="135"/>
      <c r="F11" s="135"/>
      <c r="G11" s="135"/>
      <c r="H11" s="138" t="s">
        <v>9</v>
      </c>
      <c r="I11" s="138"/>
      <c r="J11" s="138"/>
      <c r="K11" s="138"/>
      <c r="L11" s="138"/>
      <c r="M11" s="138"/>
      <c r="N11" s="138"/>
      <c r="O11" s="21"/>
      <c r="P11" s="77"/>
    </row>
    <row r="12" spans="1:16" ht="18" customHeight="1" x14ac:dyDescent="0.35">
      <c r="A12" s="97" t="s">
        <v>16</v>
      </c>
      <c r="B12" s="98"/>
      <c r="C12" s="98"/>
      <c r="D12" s="3">
        <f>209088+143748+206288+72310</f>
        <v>631434</v>
      </c>
      <c r="E12" s="12">
        <f>E10*43500</f>
        <v>287970</v>
      </c>
      <c r="F12" s="5">
        <f>F10*43500</f>
        <v>287970</v>
      </c>
      <c r="G12" s="13">
        <f>F12-H12</f>
        <v>101970</v>
      </c>
      <c r="H12" s="14">
        <f>SUM(I12:N12)</f>
        <v>186000</v>
      </c>
      <c r="I12" s="15">
        <f>I10*3500</f>
        <v>42000</v>
      </c>
      <c r="J12" s="15">
        <f>J10*5000</f>
        <v>60000</v>
      </c>
      <c r="K12" s="15">
        <f>K10*4000</f>
        <v>84000</v>
      </c>
      <c r="L12" s="15"/>
      <c r="M12" s="15">
        <f>M10*7000</f>
        <v>0</v>
      </c>
      <c r="N12" s="15">
        <f>N10*10000</f>
        <v>0</v>
      </c>
      <c r="O12" s="17"/>
      <c r="P12" s="77"/>
    </row>
    <row r="13" spans="1:16" ht="18" hidden="1" customHeight="1" x14ac:dyDescent="0.35">
      <c r="A13" s="99" t="s">
        <v>5</v>
      </c>
      <c r="B13" s="100"/>
      <c r="C13" s="100"/>
      <c r="D13" s="100"/>
      <c r="E13" s="100"/>
      <c r="F13" s="100"/>
      <c r="G13" s="78">
        <f>G12+H12</f>
        <v>287970</v>
      </c>
      <c r="H13" s="79"/>
      <c r="I13" s="1"/>
      <c r="J13" s="1"/>
      <c r="K13" s="1"/>
      <c r="L13" s="1"/>
      <c r="M13" s="1"/>
      <c r="N13" s="1"/>
      <c r="O13" s="18"/>
      <c r="P13" s="77"/>
    </row>
    <row r="14" spans="1:16" ht="18" customHeight="1" x14ac:dyDescent="0.35">
      <c r="A14" s="143" t="s">
        <v>47</v>
      </c>
      <c r="B14" s="145" t="s">
        <v>3</v>
      </c>
      <c r="C14" s="145" t="s">
        <v>0</v>
      </c>
      <c r="D14" s="96" t="s">
        <v>8</v>
      </c>
      <c r="E14" s="96"/>
      <c r="F14" s="96"/>
      <c r="G14" s="22" t="s">
        <v>48</v>
      </c>
      <c r="H14" s="96" t="s">
        <v>44</v>
      </c>
      <c r="I14" s="96"/>
      <c r="J14" s="96"/>
      <c r="K14" s="96"/>
      <c r="L14" s="96"/>
      <c r="M14" s="96"/>
      <c r="N14" s="96"/>
      <c r="O14" s="18"/>
      <c r="P14" s="140" t="s">
        <v>41</v>
      </c>
    </row>
    <row r="15" spans="1:16" ht="18" customHeight="1" x14ac:dyDescent="0.35">
      <c r="A15" s="144"/>
      <c r="B15" s="146"/>
      <c r="C15" s="146"/>
      <c r="D15" s="6">
        <v>19.739999999999998</v>
      </c>
      <c r="E15" s="7">
        <v>0</v>
      </c>
      <c r="F15" s="8">
        <f>D15</f>
        <v>19.739999999999998</v>
      </c>
      <c r="G15" s="16" t="s">
        <v>50</v>
      </c>
      <c r="H15" s="10"/>
      <c r="I15" s="11"/>
      <c r="J15" s="11"/>
      <c r="K15" s="11"/>
      <c r="L15" s="11">
        <v>256</v>
      </c>
      <c r="M15" s="11"/>
      <c r="N15" s="11"/>
      <c r="O15" s="4">
        <f>SUM(I15:M15)+(N15*4)</f>
        <v>256</v>
      </c>
      <c r="P15" s="141"/>
    </row>
    <row r="16" spans="1:16" ht="18" customHeight="1" x14ac:dyDescent="0.35">
      <c r="A16" s="108"/>
      <c r="B16" s="120"/>
      <c r="C16" s="120"/>
      <c r="D16" s="6"/>
      <c r="E16" s="135" t="s">
        <v>10</v>
      </c>
      <c r="F16" s="135"/>
      <c r="G16" s="135"/>
      <c r="H16" s="135"/>
      <c r="I16" s="11"/>
      <c r="J16" s="11"/>
      <c r="K16" s="11"/>
      <c r="L16" s="11"/>
      <c r="M16" s="11"/>
      <c r="N16" s="11"/>
      <c r="O16" s="4"/>
      <c r="P16" s="141"/>
    </row>
    <row r="17" spans="1:16" ht="18" customHeight="1" x14ac:dyDescent="0.35">
      <c r="A17" s="97" t="s">
        <v>16</v>
      </c>
      <c r="B17" s="98"/>
      <c r="C17" s="98"/>
      <c r="D17" s="3">
        <v>859874</v>
      </c>
      <c r="E17" s="20">
        <f>E15*43500</f>
        <v>0</v>
      </c>
      <c r="F17" s="63">
        <f>D17</f>
        <v>859874</v>
      </c>
      <c r="G17" s="9">
        <v>280000</v>
      </c>
      <c r="H17" s="14">
        <f>SUM(I17:N17)</f>
        <v>280000</v>
      </c>
      <c r="I17" s="15">
        <f>800*I15</f>
        <v>0</v>
      </c>
      <c r="J17" s="15">
        <f>1200*J15</f>
        <v>0</v>
      </c>
      <c r="K17" s="15"/>
      <c r="L17" s="15">
        <v>280000</v>
      </c>
      <c r="M17" s="15">
        <f>M15*2400</f>
        <v>0</v>
      </c>
      <c r="N17" s="15">
        <f>N14*10000</f>
        <v>0</v>
      </c>
      <c r="O17" s="4"/>
      <c r="P17" s="142"/>
    </row>
    <row r="18" spans="1:16" ht="22" customHeight="1" thickBot="1" x14ac:dyDescent="0.4">
      <c r="A18" s="88" t="s">
        <v>54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23">
        <f>SUM(O5:O17)</f>
        <v>442</v>
      </c>
      <c r="P18" s="24" t="s">
        <v>12</v>
      </c>
    </row>
    <row r="19" spans="1:16" ht="22" customHeight="1" thickBot="1" x14ac:dyDescent="0.4">
      <c r="A19" s="105" t="s">
        <v>25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7"/>
    </row>
    <row r="20" spans="1:16" ht="18" customHeight="1" x14ac:dyDescent="0.35">
      <c r="A20" s="108" t="s">
        <v>22</v>
      </c>
      <c r="B20" s="109"/>
      <c r="C20" s="120" t="s">
        <v>28</v>
      </c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1"/>
    </row>
    <row r="21" spans="1:16" ht="18" customHeight="1" x14ac:dyDescent="0.35">
      <c r="A21" s="110" t="s">
        <v>18</v>
      </c>
      <c r="B21" s="111"/>
      <c r="C21" s="122" t="s">
        <v>49</v>
      </c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3"/>
    </row>
    <row r="22" spans="1:16" ht="18" customHeight="1" x14ac:dyDescent="0.35">
      <c r="A22" s="112" t="s">
        <v>19</v>
      </c>
      <c r="B22" s="113"/>
      <c r="C22" s="124" t="s">
        <v>51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5"/>
    </row>
    <row r="23" spans="1:16" ht="18" customHeight="1" x14ac:dyDescent="0.35">
      <c r="A23" s="114" t="s">
        <v>26</v>
      </c>
      <c r="B23" s="115"/>
      <c r="C23" s="90" t="s">
        <v>52</v>
      </c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1"/>
    </row>
    <row r="24" spans="1:16" ht="18" customHeight="1" x14ac:dyDescent="0.35">
      <c r="A24" s="116" t="s">
        <v>21</v>
      </c>
      <c r="B24" s="117"/>
      <c r="C24" s="94" t="s">
        <v>4</v>
      </c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5"/>
    </row>
    <row r="25" spans="1:16" ht="18" customHeight="1" x14ac:dyDescent="0.35">
      <c r="A25" s="126" t="s">
        <v>23</v>
      </c>
      <c r="B25" s="127"/>
      <c r="C25" s="128" t="s">
        <v>29</v>
      </c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9"/>
    </row>
    <row r="26" spans="1:16" ht="18" customHeight="1" x14ac:dyDescent="0.35">
      <c r="A26" s="118" t="s">
        <v>76</v>
      </c>
      <c r="B26" s="119"/>
      <c r="C26" s="92" t="s">
        <v>77</v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3"/>
    </row>
    <row r="27" spans="1:16" ht="18" customHeight="1" x14ac:dyDescent="0.35">
      <c r="A27" s="84" t="s">
        <v>30</v>
      </c>
      <c r="B27" s="85"/>
      <c r="C27" s="86" t="s">
        <v>37</v>
      </c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7"/>
    </row>
    <row r="28" spans="1:16" ht="18" customHeight="1" x14ac:dyDescent="0.35">
      <c r="A28" s="80" t="s">
        <v>24</v>
      </c>
      <c r="B28" s="81"/>
      <c r="C28" s="82" t="s">
        <v>27</v>
      </c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3"/>
    </row>
    <row r="29" spans="1:16" ht="18" customHeight="1" thickBot="1" x14ac:dyDescent="0.4">
      <c r="A29" s="101" t="s">
        <v>7</v>
      </c>
      <c r="B29" s="102"/>
      <c r="C29" s="103" t="s">
        <v>54</v>
      </c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4"/>
    </row>
  </sheetData>
  <mergeCells count="56">
    <mergeCell ref="P1:P2"/>
    <mergeCell ref="D14:F14"/>
    <mergeCell ref="P14:P17"/>
    <mergeCell ref="A17:C17"/>
    <mergeCell ref="H14:N14"/>
    <mergeCell ref="A14:A16"/>
    <mergeCell ref="B14:B16"/>
    <mergeCell ref="C14:C16"/>
    <mergeCell ref="E16:H16"/>
    <mergeCell ref="A13:F13"/>
    <mergeCell ref="D11:G11"/>
    <mergeCell ref="D9:F9"/>
    <mergeCell ref="H11:N11"/>
    <mergeCell ref="A9:A11"/>
    <mergeCell ref="B9:B11"/>
    <mergeCell ref="C9:C11"/>
    <mergeCell ref="A1:O1"/>
    <mergeCell ref="H4:N4"/>
    <mergeCell ref="A4:A6"/>
    <mergeCell ref="B4:B6"/>
    <mergeCell ref="C4:C6"/>
    <mergeCell ref="D6:G6"/>
    <mergeCell ref="O3:O4"/>
    <mergeCell ref="H6:N6"/>
    <mergeCell ref="D4:F4"/>
    <mergeCell ref="A2:O2"/>
    <mergeCell ref="A29:B29"/>
    <mergeCell ref="C29:P29"/>
    <mergeCell ref="A19:P19"/>
    <mergeCell ref="A20:B20"/>
    <mergeCell ref="A21:B21"/>
    <mergeCell ref="A22:B22"/>
    <mergeCell ref="A23:B23"/>
    <mergeCell ref="A24:B24"/>
    <mergeCell ref="A26:B26"/>
    <mergeCell ref="C20:P20"/>
    <mergeCell ref="C21:P21"/>
    <mergeCell ref="C22:P22"/>
    <mergeCell ref="A25:B25"/>
    <mergeCell ref="C25:P25"/>
    <mergeCell ref="P4:P8"/>
    <mergeCell ref="P9:P13"/>
    <mergeCell ref="G8:H8"/>
    <mergeCell ref="A28:B28"/>
    <mergeCell ref="C28:P28"/>
    <mergeCell ref="A27:B27"/>
    <mergeCell ref="C27:P27"/>
    <mergeCell ref="A18:N18"/>
    <mergeCell ref="C23:P23"/>
    <mergeCell ref="C26:P26"/>
    <mergeCell ref="C24:P24"/>
    <mergeCell ref="G13:H13"/>
    <mergeCell ref="H9:N9"/>
    <mergeCell ref="A7:C7"/>
    <mergeCell ref="A8:F8"/>
    <mergeCell ref="A12:C12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4BDED-5518-4FB6-B420-A637AFA08FB8}">
  <dimension ref="A1:N25"/>
  <sheetViews>
    <sheetView zoomScale="75" zoomScaleNormal="75" workbookViewId="0">
      <selection activeCell="N2" sqref="N2"/>
    </sheetView>
  </sheetViews>
  <sheetFormatPr defaultRowHeight="18.5" x14ac:dyDescent="0.35"/>
  <cols>
    <col min="1" max="1" width="30.26953125" style="19" customWidth="1"/>
    <col min="2" max="2" width="23.54296875" style="2" customWidth="1"/>
    <col min="3" max="3" width="12.90625" style="2" customWidth="1"/>
    <col min="4" max="4" width="11.1796875" style="2" customWidth="1"/>
    <col min="5" max="5" width="13" style="2" customWidth="1"/>
    <col min="6" max="6" width="15.81640625" style="2" customWidth="1"/>
    <col min="7" max="7" width="16" style="2" customWidth="1"/>
    <col min="8" max="8" width="10.90625" style="2" customWidth="1"/>
    <col min="9" max="12" width="12.6328125" style="2" customWidth="1"/>
    <col min="13" max="13" width="9.81640625" style="2" customWidth="1"/>
    <col min="14" max="14" width="42.54296875" style="2" customWidth="1"/>
    <col min="15" max="16384" width="8.7265625" style="2"/>
  </cols>
  <sheetData>
    <row r="1" spans="1:14" ht="24" thickBot="1" x14ac:dyDescent="0.4">
      <c r="A1" s="130" t="s">
        <v>74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2"/>
      <c r="N1" s="26">
        <v>45775</v>
      </c>
    </row>
    <row r="2" spans="1:14" s="19" customFormat="1" ht="185.5" customHeight="1" x14ac:dyDescent="0.45">
      <c r="A2" s="27" t="s">
        <v>15</v>
      </c>
      <c r="B2" s="28" t="s">
        <v>11</v>
      </c>
      <c r="C2" s="28" t="s">
        <v>1</v>
      </c>
      <c r="D2" s="29" t="s">
        <v>6</v>
      </c>
      <c r="E2" s="30" t="s">
        <v>14</v>
      </c>
      <c r="F2" s="31" t="s">
        <v>72</v>
      </c>
      <c r="G2" s="32" t="s">
        <v>20</v>
      </c>
      <c r="H2" s="33" t="s">
        <v>4</v>
      </c>
      <c r="I2" s="34" t="s">
        <v>58</v>
      </c>
      <c r="J2" s="34" t="s">
        <v>56</v>
      </c>
      <c r="K2" s="34" t="s">
        <v>55</v>
      </c>
      <c r="L2" s="34" t="s">
        <v>57</v>
      </c>
      <c r="M2" s="136" t="s">
        <v>7</v>
      </c>
      <c r="N2" s="25" t="s">
        <v>2</v>
      </c>
    </row>
    <row r="3" spans="1:14" ht="18" customHeight="1" x14ac:dyDescent="0.35">
      <c r="A3" s="133" t="s">
        <v>35</v>
      </c>
      <c r="B3" s="134" t="s">
        <v>32</v>
      </c>
      <c r="C3" s="134" t="s">
        <v>0</v>
      </c>
      <c r="D3" s="96" t="s">
        <v>8</v>
      </c>
      <c r="E3" s="96"/>
      <c r="F3" s="96"/>
      <c r="G3" s="22" t="s">
        <v>17</v>
      </c>
      <c r="H3" s="96" t="s">
        <v>13</v>
      </c>
      <c r="I3" s="96"/>
      <c r="J3" s="96"/>
      <c r="K3" s="96"/>
      <c r="L3" s="96"/>
      <c r="M3" s="137"/>
      <c r="N3" s="77" t="s">
        <v>65</v>
      </c>
    </row>
    <row r="4" spans="1:14" ht="18" customHeight="1" x14ac:dyDescent="0.35">
      <c r="A4" s="133"/>
      <c r="B4" s="134"/>
      <c r="C4" s="134"/>
      <c r="D4" s="6">
        <v>2.15</v>
      </c>
      <c r="E4" s="7">
        <f>D4*0.5</f>
        <v>1.075</v>
      </c>
      <c r="F4" s="8">
        <f>D4*0.5</f>
        <v>1.075</v>
      </c>
      <c r="G4" s="9">
        <f>G6/22</f>
        <v>307.38636363636363</v>
      </c>
      <c r="H4" s="10"/>
      <c r="I4" s="11"/>
      <c r="J4" s="11"/>
      <c r="K4" s="11"/>
      <c r="L4" s="11">
        <v>4</v>
      </c>
      <c r="M4" s="4">
        <f>SUM(I4:K4)+(L4*4)</f>
        <v>16</v>
      </c>
      <c r="N4" s="77"/>
    </row>
    <row r="5" spans="1:14" ht="18" customHeight="1" x14ac:dyDescent="0.35">
      <c r="A5" s="133"/>
      <c r="B5" s="134"/>
      <c r="C5" s="134"/>
      <c r="D5" s="135" t="s">
        <v>10</v>
      </c>
      <c r="E5" s="135"/>
      <c r="F5" s="135"/>
      <c r="G5" s="135"/>
      <c r="H5" s="138" t="s">
        <v>9</v>
      </c>
      <c r="I5" s="138"/>
      <c r="J5" s="138"/>
      <c r="K5" s="138"/>
      <c r="L5" s="138"/>
      <c r="M5" s="21"/>
      <c r="N5" s="77"/>
    </row>
    <row r="6" spans="1:14" ht="18" customHeight="1" x14ac:dyDescent="0.35">
      <c r="A6" s="97" t="s">
        <v>16</v>
      </c>
      <c r="B6" s="98"/>
      <c r="C6" s="98"/>
      <c r="D6" s="3">
        <v>93654</v>
      </c>
      <c r="E6" s="12">
        <f>E4*43500</f>
        <v>46762.5</v>
      </c>
      <c r="F6" s="5">
        <f>F4*43500</f>
        <v>46762.5</v>
      </c>
      <c r="G6" s="13">
        <f>F6-H6</f>
        <v>6762.5</v>
      </c>
      <c r="H6" s="14">
        <f>SUM(I6:L6)</f>
        <v>40000</v>
      </c>
      <c r="I6" s="15">
        <f>I4*3500</f>
        <v>0</v>
      </c>
      <c r="J6" s="15">
        <f>J4*5000</f>
        <v>0</v>
      </c>
      <c r="K6" s="15">
        <f>K4*7000</f>
        <v>0</v>
      </c>
      <c r="L6" s="15">
        <f>L4*10000</f>
        <v>40000</v>
      </c>
      <c r="M6" s="17"/>
      <c r="N6" s="77"/>
    </row>
    <row r="7" spans="1:14" ht="18" hidden="1" customHeight="1" x14ac:dyDescent="0.35">
      <c r="A7" s="99" t="s">
        <v>5</v>
      </c>
      <c r="B7" s="100"/>
      <c r="C7" s="100"/>
      <c r="D7" s="100"/>
      <c r="E7" s="100"/>
      <c r="F7" s="100"/>
      <c r="G7" s="78">
        <f>G6+H6</f>
        <v>46762.5</v>
      </c>
      <c r="H7" s="79"/>
      <c r="I7" s="1"/>
      <c r="J7" s="1"/>
      <c r="K7" s="1"/>
      <c r="L7" s="1"/>
      <c r="M7" s="18"/>
      <c r="N7" s="77"/>
    </row>
    <row r="8" spans="1:14" ht="18" customHeight="1" x14ac:dyDescent="0.35">
      <c r="A8" s="133" t="s">
        <v>36</v>
      </c>
      <c r="B8" s="134" t="s">
        <v>73</v>
      </c>
      <c r="C8" s="139" t="s">
        <v>0</v>
      </c>
      <c r="D8" s="96" t="s">
        <v>8</v>
      </c>
      <c r="E8" s="96"/>
      <c r="F8" s="96"/>
      <c r="G8" s="22" t="s">
        <v>17</v>
      </c>
      <c r="H8" s="96" t="s">
        <v>13</v>
      </c>
      <c r="I8" s="96"/>
      <c r="J8" s="96"/>
      <c r="K8" s="96"/>
      <c r="L8" s="96"/>
      <c r="M8" s="18"/>
      <c r="N8" s="77" t="s">
        <v>65</v>
      </c>
    </row>
    <row r="9" spans="1:14" ht="18" customHeight="1" x14ac:dyDescent="0.35">
      <c r="A9" s="133"/>
      <c r="B9" s="134"/>
      <c r="C9" s="139"/>
      <c r="D9" s="6">
        <v>3.12</v>
      </c>
      <c r="E9" s="7">
        <f>D9*0.5</f>
        <v>1.56</v>
      </c>
      <c r="F9" s="8">
        <f>D9*0.5</f>
        <v>1.56</v>
      </c>
      <c r="G9" s="9">
        <f>G11/22</f>
        <v>1266.3636363636363</v>
      </c>
      <c r="H9" s="10"/>
      <c r="I9" s="11"/>
      <c r="J9" s="11"/>
      <c r="K9" s="11"/>
      <c r="L9" s="11">
        <v>4</v>
      </c>
      <c r="M9" s="4">
        <f>SUM(I9:K9)+(L9*4)</f>
        <v>16</v>
      </c>
      <c r="N9" s="77"/>
    </row>
    <row r="10" spans="1:14" ht="18" customHeight="1" x14ac:dyDescent="0.35">
      <c r="A10" s="133"/>
      <c r="B10" s="134"/>
      <c r="C10" s="139"/>
      <c r="D10" s="135" t="s">
        <v>10</v>
      </c>
      <c r="E10" s="135"/>
      <c r="F10" s="135"/>
      <c r="G10" s="135"/>
      <c r="H10" s="138" t="s">
        <v>9</v>
      </c>
      <c r="I10" s="138"/>
      <c r="J10" s="138"/>
      <c r="K10" s="138"/>
      <c r="L10" s="138"/>
      <c r="M10" s="21"/>
      <c r="N10" s="77"/>
    </row>
    <row r="11" spans="1:14" ht="18" customHeight="1" x14ac:dyDescent="0.35">
      <c r="A11" s="97" t="s">
        <v>16</v>
      </c>
      <c r="B11" s="98"/>
      <c r="C11" s="98"/>
      <c r="D11" s="3">
        <v>135907</v>
      </c>
      <c r="E11" s="12">
        <f>E9*43500</f>
        <v>67860</v>
      </c>
      <c r="F11" s="5">
        <f>F9*43500</f>
        <v>67860</v>
      </c>
      <c r="G11" s="13">
        <f>F11-H11</f>
        <v>27860</v>
      </c>
      <c r="H11" s="14">
        <f>SUM(I11:L11)</f>
        <v>40000</v>
      </c>
      <c r="I11" s="15">
        <f>I9*3500</f>
        <v>0</v>
      </c>
      <c r="J11" s="15">
        <f>J9*5000</f>
        <v>0</v>
      </c>
      <c r="K11" s="15">
        <f>K9*7000</f>
        <v>0</v>
      </c>
      <c r="L11" s="15">
        <f>L9*10000</f>
        <v>40000</v>
      </c>
      <c r="M11" s="4"/>
      <c r="N11" s="77"/>
    </row>
    <row r="12" spans="1:14" ht="18" hidden="1" customHeight="1" x14ac:dyDescent="0.35">
      <c r="A12" s="99" t="s">
        <v>5</v>
      </c>
      <c r="B12" s="100"/>
      <c r="C12" s="100"/>
      <c r="D12" s="100"/>
      <c r="E12" s="100"/>
      <c r="F12" s="100"/>
      <c r="G12" s="78">
        <f>G11+H11</f>
        <v>67860</v>
      </c>
      <c r="H12" s="79"/>
      <c r="I12" s="1">
        <v>8</v>
      </c>
      <c r="J12" s="1">
        <v>8</v>
      </c>
      <c r="K12" s="1"/>
      <c r="L12" s="1">
        <v>2</v>
      </c>
      <c r="M12" s="18"/>
      <c r="N12" s="77"/>
    </row>
    <row r="13" spans="1:14" ht="22" customHeight="1" thickBot="1" x14ac:dyDescent="0.4">
      <c r="A13" s="88" t="s">
        <v>54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23">
        <f>SUM(M4:M12)</f>
        <v>32</v>
      </c>
      <c r="N13" s="24"/>
    </row>
    <row r="14" spans="1:14" ht="22" customHeight="1" thickBot="1" x14ac:dyDescent="0.4">
      <c r="A14" s="105" t="s">
        <v>25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7"/>
    </row>
    <row r="15" spans="1:14" ht="18" customHeight="1" x14ac:dyDescent="0.35">
      <c r="A15" s="108" t="s">
        <v>22</v>
      </c>
      <c r="B15" s="109"/>
      <c r="C15" s="120" t="s">
        <v>28</v>
      </c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1"/>
    </row>
    <row r="16" spans="1:14" ht="18" customHeight="1" x14ac:dyDescent="0.35">
      <c r="A16" s="110" t="s">
        <v>18</v>
      </c>
      <c r="B16" s="111"/>
      <c r="C16" s="122" t="s">
        <v>49</v>
      </c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3"/>
    </row>
    <row r="17" spans="1:14" ht="18" customHeight="1" x14ac:dyDescent="0.35">
      <c r="A17" s="112" t="s">
        <v>19</v>
      </c>
      <c r="B17" s="113"/>
      <c r="C17" s="124" t="s">
        <v>51</v>
      </c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5"/>
    </row>
    <row r="18" spans="1:14" ht="18" customHeight="1" x14ac:dyDescent="0.35">
      <c r="A18" s="114" t="s">
        <v>26</v>
      </c>
      <c r="B18" s="115"/>
      <c r="C18" s="90" t="s">
        <v>52</v>
      </c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1"/>
    </row>
    <row r="19" spans="1:14" ht="18" customHeight="1" x14ac:dyDescent="0.35">
      <c r="A19" s="116" t="s">
        <v>21</v>
      </c>
      <c r="B19" s="117"/>
      <c r="C19" s="94" t="s">
        <v>4</v>
      </c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5"/>
    </row>
    <row r="20" spans="1:14" ht="18" customHeight="1" x14ac:dyDescent="0.35">
      <c r="A20" s="126" t="s">
        <v>23</v>
      </c>
      <c r="B20" s="127"/>
      <c r="C20" s="128" t="s">
        <v>29</v>
      </c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9"/>
    </row>
    <row r="21" spans="1:14" ht="18" customHeight="1" x14ac:dyDescent="0.35">
      <c r="A21" s="84" t="s">
        <v>30</v>
      </c>
      <c r="B21" s="85"/>
      <c r="C21" s="86" t="s">
        <v>37</v>
      </c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7"/>
    </row>
    <row r="22" spans="1:14" ht="18" customHeight="1" x14ac:dyDescent="0.35">
      <c r="A22" s="80" t="s">
        <v>24</v>
      </c>
      <c r="B22" s="81"/>
      <c r="C22" s="82" t="s">
        <v>27</v>
      </c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3"/>
    </row>
    <row r="23" spans="1:14" ht="18" customHeight="1" thickBot="1" x14ac:dyDescent="0.4">
      <c r="A23" s="101" t="s">
        <v>7</v>
      </c>
      <c r="B23" s="102"/>
      <c r="C23" s="103" t="s">
        <v>54</v>
      </c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4"/>
    </row>
    <row r="25" spans="1:14" x14ac:dyDescent="0.35">
      <c r="C25" s="2" t="s">
        <v>43</v>
      </c>
    </row>
  </sheetData>
  <mergeCells count="44">
    <mergeCell ref="A23:B23"/>
    <mergeCell ref="C23:N23"/>
    <mergeCell ref="A20:B20"/>
    <mergeCell ref="C20:N20"/>
    <mergeCell ref="A21:B21"/>
    <mergeCell ref="C21:N21"/>
    <mergeCell ref="A22:B22"/>
    <mergeCell ref="C22:N22"/>
    <mergeCell ref="A17:B17"/>
    <mergeCell ref="C17:N17"/>
    <mergeCell ref="A18:B18"/>
    <mergeCell ref="C18:N18"/>
    <mergeCell ref="A19:B19"/>
    <mergeCell ref="C19:N19"/>
    <mergeCell ref="A13:L13"/>
    <mergeCell ref="A14:N14"/>
    <mergeCell ref="A15:B15"/>
    <mergeCell ref="C15:N15"/>
    <mergeCell ref="A16:B16"/>
    <mergeCell ref="C16:N16"/>
    <mergeCell ref="G7:H7"/>
    <mergeCell ref="N8:N12"/>
    <mergeCell ref="D10:G10"/>
    <mergeCell ref="H10:L10"/>
    <mergeCell ref="A11:C11"/>
    <mergeCell ref="A12:F12"/>
    <mergeCell ref="A8:A10"/>
    <mergeCell ref="B8:B10"/>
    <mergeCell ref="C8:C10"/>
    <mergeCell ref="D8:F8"/>
    <mergeCell ref="H8:L8"/>
    <mergeCell ref="G12:H12"/>
    <mergeCell ref="N3:N7"/>
    <mergeCell ref="A6:C6"/>
    <mergeCell ref="A7:F7"/>
    <mergeCell ref="A1:M1"/>
    <mergeCell ref="M2:M3"/>
    <mergeCell ref="A3:A5"/>
    <mergeCell ref="B3:B5"/>
    <mergeCell ref="C3:C5"/>
    <mergeCell ref="D3:F3"/>
    <mergeCell ref="H3:L3"/>
    <mergeCell ref="D5:G5"/>
    <mergeCell ref="H5:L5"/>
  </mergeCells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A2F2A-6A01-40BC-9742-1D0B51DB88FE}">
  <dimension ref="A1:N28"/>
  <sheetViews>
    <sheetView zoomScale="75" zoomScaleNormal="75" workbookViewId="0">
      <selection activeCell="Q8" sqref="Q6:Q8"/>
    </sheetView>
  </sheetViews>
  <sheetFormatPr defaultRowHeight="18.5" x14ac:dyDescent="0.35"/>
  <cols>
    <col min="1" max="1" width="30.26953125" style="19" customWidth="1"/>
    <col min="2" max="2" width="23.54296875" style="2" customWidth="1"/>
    <col min="3" max="3" width="12.90625" style="2" customWidth="1"/>
    <col min="4" max="4" width="11.1796875" style="2" customWidth="1"/>
    <col min="5" max="5" width="13" style="2" customWidth="1"/>
    <col min="6" max="6" width="15.81640625" style="2" customWidth="1"/>
    <col min="7" max="7" width="16" style="2" customWidth="1"/>
    <col min="8" max="8" width="10.90625" style="2" customWidth="1"/>
    <col min="9" max="12" width="12.6328125" style="2" customWidth="1"/>
    <col min="13" max="13" width="9.81640625" style="2" customWidth="1"/>
    <col min="14" max="14" width="42.54296875" style="2" customWidth="1"/>
    <col min="15" max="16384" width="8.7265625" style="2"/>
  </cols>
  <sheetData>
    <row r="1" spans="1:14" ht="24" thickBot="1" x14ac:dyDescent="0.4">
      <c r="A1" s="130" t="s">
        <v>71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2"/>
      <c r="N1" s="26">
        <v>45775</v>
      </c>
    </row>
    <row r="2" spans="1:14" s="19" customFormat="1" ht="200.5" customHeight="1" x14ac:dyDescent="0.45">
      <c r="A2" s="27" t="s">
        <v>15</v>
      </c>
      <c r="B2" s="28" t="s">
        <v>11</v>
      </c>
      <c r="C2" s="28" t="s">
        <v>1</v>
      </c>
      <c r="D2" s="29" t="s">
        <v>6</v>
      </c>
      <c r="E2" s="30" t="s">
        <v>115</v>
      </c>
      <c r="F2" s="31" t="s">
        <v>118</v>
      </c>
      <c r="G2" s="32" t="s">
        <v>20</v>
      </c>
      <c r="H2" s="33" t="s">
        <v>4</v>
      </c>
      <c r="I2" s="34" t="s">
        <v>58</v>
      </c>
      <c r="J2" s="34" t="s">
        <v>56</v>
      </c>
      <c r="K2" s="34" t="s">
        <v>55</v>
      </c>
      <c r="L2" s="34" t="s">
        <v>57</v>
      </c>
      <c r="M2" s="136" t="s">
        <v>7</v>
      </c>
      <c r="N2" s="25" t="s">
        <v>2</v>
      </c>
    </row>
    <row r="3" spans="1:14" ht="18" customHeight="1" x14ac:dyDescent="0.35">
      <c r="A3" s="133" t="s">
        <v>31</v>
      </c>
      <c r="B3" s="134" t="s">
        <v>32</v>
      </c>
      <c r="C3" s="134" t="s">
        <v>0</v>
      </c>
      <c r="D3" s="96" t="s">
        <v>8</v>
      </c>
      <c r="E3" s="96"/>
      <c r="F3" s="96"/>
      <c r="G3" s="22" t="s">
        <v>17</v>
      </c>
      <c r="H3" s="96" t="s">
        <v>13</v>
      </c>
      <c r="I3" s="96"/>
      <c r="J3" s="96"/>
      <c r="K3" s="96"/>
      <c r="L3" s="96"/>
      <c r="M3" s="137"/>
      <c r="N3" s="77" t="s">
        <v>65</v>
      </c>
    </row>
    <row r="4" spans="1:14" ht="18" customHeight="1" x14ac:dyDescent="0.35">
      <c r="A4" s="133"/>
      <c r="B4" s="134"/>
      <c r="C4" s="134"/>
      <c r="D4" s="6">
        <v>45.7</v>
      </c>
      <c r="E4" s="7">
        <f>D4*0.35</f>
        <v>15.994999999999999</v>
      </c>
      <c r="F4" s="8">
        <f>D4*0.65</f>
        <v>29.705000000000002</v>
      </c>
      <c r="G4" s="9">
        <f>G6/60</f>
        <v>10869.458333333334</v>
      </c>
      <c r="H4" s="10"/>
      <c r="I4" s="11">
        <v>30</v>
      </c>
      <c r="J4" s="11">
        <v>45</v>
      </c>
      <c r="K4" s="11">
        <v>30</v>
      </c>
      <c r="L4" s="11">
        <v>10</v>
      </c>
      <c r="M4" s="4">
        <f>SUM(I4:K4)+(L4*4)</f>
        <v>145</v>
      </c>
      <c r="N4" s="77"/>
    </row>
    <row r="5" spans="1:14" ht="18" customHeight="1" x14ac:dyDescent="0.35">
      <c r="A5" s="133"/>
      <c r="B5" s="134"/>
      <c r="C5" s="134"/>
      <c r="D5" s="135" t="s">
        <v>10</v>
      </c>
      <c r="E5" s="135"/>
      <c r="F5" s="135"/>
      <c r="G5" s="135"/>
      <c r="H5" s="138" t="s">
        <v>9</v>
      </c>
      <c r="I5" s="138"/>
      <c r="J5" s="138"/>
      <c r="K5" s="138"/>
      <c r="L5" s="138"/>
      <c r="M5" s="21"/>
      <c r="N5" s="77"/>
    </row>
    <row r="6" spans="1:14" ht="18" customHeight="1" x14ac:dyDescent="0.35">
      <c r="A6" s="97" t="s">
        <v>16</v>
      </c>
      <c r="B6" s="98"/>
      <c r="C6" s="98"/>
      <c r="D6" s="3">
        <v>1990692</v>
      </c>
      <c r="E6" s="12">
        <f>E4*43500</f>
        <v>695782.5</v>
      </c>
      <c r="F6" s="5">
        <f>F4*43500</f>
        <v>1292167.5</v>
      </c>
      <c r="G6" s="13">
        <f>F6-H6</f>
        <v>652167.5</v>
      </c>
      <c r="H6" s="14">
        <f>SUM(I6:L6)</f>
        <v>640000</v>
      </c>
      <c r="I6" s="15">
        <f>I4*3500</f>
        <v>105000</v>
      </c>
      <c r="J6" s="15">
        <f>J4*5000</f>
        <v>225000</v>
      </c>
      <c r="K6" s="15">
        <f>K4*7000</f>
        <v>210000</v>
      </c>
      <c r="L6" s="15">
        <f>L4*10000</f>
        <v>100000</v>
      </c>
      <c r="M6" s="17"/>
      <c r="N6" s="77"/>
    </row>
    <row r="7" spans="1:14" ht="18" hidden="1" customHeight="1" x14ac:dyDescent="0.35">
      <c r="A7" s="99" t="s">
        <v>5</v>
      </c>
      <c r="B7" s="100"/>
      <c r="C7" s="100"/>
      <c r="D7" s="100"/>
      <c r="E7" s="100"/>
      <c r="F7" s="100"/>
      <c r="G7" s="78">
        <f>G6+H6</f>
        <v>1292167.5</v>
      </c>
      <c r="H7" s="79"/>
      <c r="I7" s="1"/>
      <c r="J7" s="1"/>
      <c r="K7" s="1"/>
      <c r="L7" s="1"/>
      <c r="M7" s="18"/>
      <c r="N7" s="77"/>
    </row>
    <row r="8" spans="1:14" ht="18" customHeight="1" x14ac:dyDescent="0.35">
      <c r="A8" s="133" t="s">
        <v>33</v>
      </c>
      <c r="B8" s="134" t="s">
        <v>32</v>
      </c>
      <c r="C8" s="139" t="s">
        <v>0</v>
      </c>
      <c r="D8" s="96" t="s">
        <v>8</v>
      </c>
      <c r="E8" s="96"/>
      <c r="F8" s="96"/>
      <c r="G8" s="22" t="s">
        <v>17</v>
      </c>
      <c r="H8" s="96" t="s">
        <v>13</v>
      </c>
      <c r="I8" s="96"/>
      <c r="J8" s="96"/>
      <c r="K8" s="96"/>
      <c r="L8" s="96"/>
      <c r="M8" s="18"/>
      <c r="N8" s="77" t="s">
        <v>65</v>
      </c>
    </row>
    <row r="9" spans="1:14" ht="18" customHeight="1" x14ac:dyDescent="0.35">
      <c r="A9" s="133"/>
      <c r="B9" s="134"/>
      <c r="C9" s="139"/>
      <c r="D9" s="6">
        <v>7</v>
      </c>
      <c r="E9" s="7">
        <f>D9*0.35</f>
        <v>2.4499999999999997</v>
      </c>
      <c r="F9" s="8">
        <f>D9*0.65</f>
        <v>4.55</v>
      </c>
      <c r="G9" s="9">
        <f>G11/22</f>
        <v>4542.045454545455</v>
      </c>
      <c r="H9" s="10"/>
      <c r="I9" s="11">
        <v>8</v>
      </c>
      <c r="J9" s="11">
        <v>8</v>
      </c>
      <c r="K9" s="11"/>
      <c r="L9" s="11">
        <v>3</v>
      </c>
      <c r="M9" s="4">
        <f>SUM(I9:K9)+(L9*4)</f>
        <v>28</v>
      </c>
      <c r="N9" s="77"/>
    </row>
    <row r="10" spans="1:14" ht="18" customHeight="1" x14ac:dyDescent="0.35">
      <c r="A10" s="133"/>
      <c r="B10" s="134"/>
      <c r="C10" s="139"/>
      <c r="D10" s="135" t="s">
        <v>10</v>
      </c>
      <c r="E10" s="135"/>
      <c r="F10" s="135"/>
      <c r="G10" s="135"/>
      <c r="H10" s="138" t="s">
        <v>9</v>
      </c>
      <c r="I10" s="138"/>
      <c r="J10" s="138"/>
      <c r="K10" s="138"/>
      <c r="L10" s="138"/>
      <c r="M10" s="21"/>
      <c r="N10" s="77"/>
    </row>
    <row r="11" spans="1:14" ht="18" customHeight="1" x14ac:dyDescent="0.35">
      <c r="A11" s="97" t="s">
        <v>16</v>
      </c>
      <c r="B11" s="98"/>
      <c r="C11" s="98"/>
      <c r="D11" s="3">
        <v>304920</v>
      </c>
      <c r="E11" s="12">
        <f>E9*43500</f>
        <v>106574.99999999999</v>
      </c>
      <c r="F11" s="5">
        <f>F9*43500</f>
        <v>197925</v>
      </c>
      <c r="G11" s="13">
        <f>F11-H11</f>
        <v>99925</v>
      </c>
      <c r="H11" s="14">
        <f>SUM(I11:L11)</f>
        <v>98000</v>
      </c>
      <c r="I11" s="15">
        <f>I9*3500</f>
        <v>28000</v>
      </c>
      <c r="J11" s="15">
        <f>J9*5000</f>
        <v>40000</v>
      </c>
      <c r="K11" s="15">
        <f>K9*7000</f>
        <v>0</v>
      </c>
      <c r="L11" s="15">
        <f>L9*10000</f>
        <v>30000</v>
      </c>
      <c r="M11" s="4"/>
      <c r="N11" s="77"/>
    </row>
    <row r="12" spans="1:14" ht="18" hidden="1" customHeight="1" x14ac:dyDescent="0.35">
      <c r="A12" s="99" t="s">
        <v>5</v>
      </c>
      <c r="B12" s="100"/>
      <c r="C12" s="100"/>
      <c r="D12" s="100"/>
      <c r="E12" s="100"/>
      <c r="F12" s="100"/>
      <c r="G12" s="78">
        <f>G11+H11</f>
        <v>197925</v>
      </c>
      <c r="H12" s="79"/>
      <c r="I12" s="1"/>
      <c r="J12" s="1"/>
      <c r="K12" s="1"/>
      <c r="L12" s="1"/>
      <c r="M12" s="18"/>
      <c r="N12" s="77"/>
    </row>
    <row r="13" spans="1:14" ht="18" customHeight="1" x14ac:dyDescent="0.35">
      <c r="A13" s="133" t="s">
        <v>34</v>
      </c>
      <c r="B13" s="134" t="s">
        <v>32</v>
      </c>
      <c r="C13" s="139" t="s">
        <v>0</v>
      </c>
      <c r="D13" s="96" t="s">
        <v>8</v>
      </c>
      <c r="E13" s="96"/>
      <c r="F13" s="96"/>
      <c r="G13" s="22" t="s">
        <v>17</v>
      </c>
      <c r="H13" s="96" t="s">
        <v>13</v>
      </c>
      <c r="I13" s="96"/>
      <c r="J13" s="96"/>
      <c r="K13" s="96"/>
      <c r="L13" s="96"/>
      <c r="M13" s="18"/>
      <c r="N13" s="77" t="s">
        <v>42</v>
      </c>
    </row>
    <row r="14" spans="1:14" ht="18" customHeight="1" x14ac:dyDescent="0.35">
      <c r="A14" s="133"/>
      <c r="B14" s="134"/>
      <c r="C14" s="139"/>
      <c r="D14" s="6">
        <v>12.83</v>
      </c>
      <c r="E14" s="7">
        <f>D14*0.35</f>
        <v>4.4904999999999999</v>
      </c>
      <c r="F14" s="8">
        <f>D14*0.65</f>
        <v>8.339500000000001</v>
      </c>
      <c r="G14" s="9">
        <f>G16/22</f>
        <v>9125.8295454545478</v>
      </c>
      <c r="H14" s="10"/>
      <c r="I14" s="11">
        <v>12</v>
      </c>
      <c r="J14" s="11">
        <v>10</v>
      </c>
      <c r="K14" s="11"/>
      <c r="L14" s="11">
        <v>7</v>
      </c>
      <c r="M14" s="4">
        <f>SUM(I14:K14)+(L14*4)</f>
        <v>50</v>
      </c>
      <c r="N14" s="77"/>
    </row>
    <row r="15" spans="1:14" ht="18" customHeight="1" x14ac:dyDescent="0.35">
      <c r="A15" s="133"/>
      <c r="B15" s="134"/>
      <c r="C15" s="139"/>
      <c r="D15" s="135" t="s">
        <v>10</v>
      </c>
      <c r="E15" s="135"/>
      <c r="F15" s="135"/>
      <c r="G15" s="135"/>
      <c r="H15" s="138" t="s">
        <v>9</v>
      </c>
      <c r="I15" s="138"/>
      <c r="J15" s="138"/>
      <c r="K15" s="138"/>
      <c r="L15" s="138"/>
      <c r="M15" s="21"/>
      <c r="N15" s="77"/>
    </row>
    <row r="16" spans="1:14" ht="18" customHeight="1" x14ac:dyDescent="0.35">
      <c r="A16" s="97" t="s">
        <v>16</v>
      </c>
      <c r="B16" s="98"/>
      <c r="C16" s="98"/>
      <c r="D16" s="3">
        <v>558875</v>
      </c>
      <c r="E16" s="12">
        <f>E14*43500</f>
        <v>195336.75</v>
      </c>
      <c r="F16" s="5">
        <f>F14*43500</f>
        <v>362768.25000000006</v>
      </c>
      <c r="G16" s="13">
        <f>F16-H16</f>
        <v>200768.25000000006</v>
      </c>
      <c r="H16" s="14">
        <f>SUM(I16:L16)</f>
        <v>162000</v>
      </c>
      <c r="I16" s="15">
        <f>I14*3500</f>
        <v>42000</v>
      </c>
      <c r="J16" s="15">
        <f>J14*5000</f>
        <v>50000</v>
      </c>
      <c r="K16" s="15">
        <f>K14*7000</f>
        <v>0</v>
      </c>
      <c r="L16" s="15">
        <f>L14*10000</f>
        <v>70000</v>
      </c>
      <c r="M16" s="4"/>
      <c r="N16" s="77"/>
    </row>
    <row r="17" spans="1:14" ht="18" hidden="1" customHeight="1" x14ac:dyDescent="0.35">
      <c r="A17" s="99" t="s">
        <v>5</v>
      </c>
      <c r="B17" s="100"/>
      <c r="C17" s="100"/>
      <c r="D17" s="100"/>
      <c r="E17" s="100"/>
      <c r="F17" s="100"/>
      <c r="G17" s="78">
        <f>G16+H16</f>
        <v>362768.25000000006</v>
      </c>
      <c r="H17" s="79"/>
      <c r="I17" s="1"/>
      <c r="J17" s="1"/>
      <c r="K17" s="1"/>
      <c r="L17" s="1"/>
      <c r="M17" s="18"/>
      <c r="N17" s="77"/>
    </row>
    <row r="18" spans="1:14" ht="22" customHeight="1" thickBot="1" x14ac:dyDescent="0.4">
      <c r="A18" s="88" t="s">
        <v>54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23">
        <f>SUM(M4:M17)</f>
        <v>223</v>
      </c>
      <c r="N18" s="24"/>
    </row>
    <row r="19" spans="1:14" ht="22" customHeight="1" thickBot="1" x14ac:dyDescent="0.4">
      <c r="A19" s="105" t="s">
        <v>25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7"/>
    </row>
    <row r="20" spans="1:14" ht="18" customHeight="1" x14ac:dyDescent="0.35">
      <c r="A20" s="108" t="s">
        <v>22</v>
      </c>
      <c r="B20" s="109"/>
      <c r="C20" s="120" t="s">
        <v>28</v>
      </c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1"/>
    </row>
    <row r="21" spans="1:14" ht="18" customHeight="1" x14ac:dyDescent="0.35">
      <c r="A21" s="110" t="s">
        <v>18</v>
      </c>
      <c r="B21" s="111"/>
      <c r="C21" s="122" t="s">
        <v>49</v>
      </c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3"/>
    </row>
    <row r="22" spans="1:14" ht="18" customHeight="1" x14ac:dyDescent="0.35">
      <c r="A22" s="112" t="s">
        <v>19</v>
      </c>
      <c r="B22" s="113"/>
      <c r="C22" s="124" t="s">
        <v>51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5"/>
    </row>
    <row r="23" spans="1:14" ht="18" customHeight="1" x14ac:dyDescent="0.35">
      <c r="A23" s="114" t="s">
        <v>26</v>
      </c>
      <c r="B23" s="115"/>
      <c r="C23" s="90" t="s">
        <v>52</v>
      </c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1"/>
    </row>
    <row r="24" spans="1:14" ht="18" customHeight="1" x14ac:dyDescent="0.35">
      <c r="A24" s="116" t="s">
        <v>21</v>
      </c>
      <c r="B24" s="117"/>
      <c r="C24" s="94" t="s">
        <v>4</v>
      </c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5"/>
    </row>
    <row r="25" spans="1:14" ht="18" customHeight="1" x14ac:dyDescent="0.35">
      <c r="A25" s="126" t="s">
        <v>23</v>
      </c>
      <c r="B25" s="127"/>
      <c r="C25" s="128" t="s">
        <v>29</v>
      </c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9"/>
    </row>
    <row r="26" spans="1:14" ht="18" customHeight="1" x14ac:dyDescent="0.35">
      <c r="A26" s="84" t="s">
        <v>30</v>
      </c>
      <c r="B26" s="85"/>
      <c r="C26" s="86" t="s">
        <v>37</v>
      </c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7"/>
    </row>
    <row r="27" spans="1:14" ht="18" customHeight="1" x14ac:dyDescent="0.35">
      <c r="A27" s="80" t="s">
        <v>24</v>
      </c>
      <c r="B27" s="81"/>
      <c r="C27" s="82" t="s">
        <v>27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3"/>
    </row>
    <row r="28" spans="1:14" ht="18" customHeight="1" thickBot="1" x14ac:dyDescent="0.4">
      <c r="A28" s="101" t="s">
        <v>7</v>
      </c>
      <c r="B28" s="102"/>
      <c r="C28" s="103" t="s">
        <v>54</v>
      </c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4"/>
    </row>
  </sheetData>
  <mergeCells count="55">
    <mergeCell ref="A1:M1"/>
    <mergeCell ref="M2:M3"/>
    <mergeCell ref="A3:A5"/>
    <mergeCell ref="B3:B5"/>
    <mergeCell ref="C3:C5"/>
    <mergeCell ref="D3:F3"/>
    <mergeCell ref="H3:L3"/>
    <mergeCell ref="N3:N7"/>
    <mergeCell ref="D5:G5"/>
    <mergeCell ref="H5:L5"/>
    <mergeCell ref="A6:C6"/>
    <mergeCell ref="A7:F7"/>
    <mergeCell ref="G7:H7"/>
    <mergeCell ref="A11:C11"/>
    <mergeCell ref="A12:F12"/>
    <mergeCell ref="A8:A10"/>
    <mergeCell ref="B8:B10"/>
    <mergeCell ref="C8:C10"/>
    <mergeCell ref="D8:F8"/>
    <mergeCell ref="N8:N12"/>
    <mergeCell ref="D10:G10"/>
    <mergeCell ref="H10:L10"/>
    <mergeCell ref="H8:L8"/>
    <mergeCell ref="G12:H12"/>
    <mergeCell ref="A28:B28"/>
    <mergeCell ref="C28:N28"/>
    <mergeCell ref="N13:N17"/>
    <mergeCell ref="A24:B24"/>
    <mergeCell ref="C24:N24"/>
    <mergeCell ref="A25:B25"/>
    <mergeCell ref="C25:N25"/>
    <mergeCell ref="A26:B26"/>
    <mergeCell ref="C26:N26"/>
    <mergeCell ref="A21:B21"/>
    <mergeCell ref="C21:N21"/>
    <mergeCell ref="A22:B22"/>
    <mergeCell ref="C22:N22"/>
    <mergeCell ref="D15:G15"/>
    <mergeCell ref="H15:L15"/>
    <mergeCell ref="A16:C16"/>
    <mergeCell ref="A13:A15"/>
    <mergeCell ref="B13:B15"/>
    <mergeCell ref="C13:C15"/>
    <mergeCell ref="A27:B27"/>
    <mergeCell ref="C27:N27"/>
    <mergeCell ref="A17:F17"/>
    <mergeCell ref="A23:B23"/>
    <mergeCell ref="C23:N23"/>
    <mergeCell ref="A18:L18"/>
    <mergeCell ref="A19:N19"/>
    <mergeCell ref="A20:B20"/>
    <mergeCell ref="C20:N20"/>
    <mergeCell ref="D13:F13"/>
    <mergeCell ref="H13:L13"/>
    <mergeCell ref="G17:H17"/>
  </mergeCells>
  <pageMargins left="0.7" right="0.7" top="0.75" bottom="0.75" header="0.3" footer="0.3"/>
  <pageSetup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61A90-AFC8-4180-9EA2-414D2D9B919F}">
  <dimension ref="A1:N38"/>
  <sheetViews>
    <sheetView zoomScale="75" zoomScaleNormal="75" workbookViewId="0">
      <selection activeCell="N2" sqref="N2"/>
    </sheetView>
  </sheetViews>
  <sheetFormatPr defaultRowHeight="18.5" x14ac:dyDescent="0.35"/>
  <cols>
    <col min="1" max="1" width="30.26953125" style="19" customWidth="1"/>
    <col min="2" max="2" width="23.54296875" style="2" customWidth="1"/>
    <col min="3" max="3" width="12.90625" style="2" customWidth="1"/>
    <col min="4" max="4" width="11.1796875" style="2" customWidth="1"/>
    <col min="5" max="6" width="12.453125" style="2" customWidth="1"/>
    <col min="7" max="7" width="13.26953125" style="2" customWidth="1"/>
    <col min="8" max="8" width="11.26953125" style="2" customWidth="1"/>
    <col min="9" max="12" width="12.6328125" style="2" customWidth="1"/>
    <col min="13" max="13" width="8.1796875" style="2" customWidth="1"/>
    <col min="14" max="14" width="42.54296875" style="2" customWidth="1"/>
    <col min="15" max="16384" width="8.7265625" style="2"/>
  </cols>
  <sheetData>
    <row r="1" spans="1:14" ht="24" thickBot="1" x14ac:dyDescent="0.4">
      <c r="A1" s="130" t="s">
        <v>66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2"/>
      <c r="N1" s="26">
        <v>45775</v>
      </c>
    </row>
    <row r="2" spans="1:14" s="19" customFormat="1" ht="185" customHeight="1" x14ac:dyDescent="0.45">
      <c r="A2" s="27" t="s">
        <v>15</v>
      </c>
      <c r="B2" s="28" t="s">
        <v>11</v>
      </c>
      <c r="C2" s="28" t="s">
        <v>1</v>
      </c>
      <c r="D2" s="29" t="s">
        <v>6</v>
      </c>
      <c r="E2" s="30" t="s">
        <v>61</v>
      </c>
      <c r="F2" s="31" t="s">
        <v>70</v>
      </c>
      <c r="G2" s="32" t="s">
        <v>20</v>
      </c>
      <c r="H2" s="33" t="s">
        <v>4</v>
      </c>
      <c r="I2" s="34" t="s">
        <v>58</v>
      </c>
      <c r="J2" s="34" t="s">
        <v>56</v>
      </c>
      <c r="K2" s="34" t="s">
        <v>55</v>
      </c>
      <c r="L2" s="34" t="s">
        <v>57</v>
      </c>
      <c r="M2" s="136" t="s">
        <v>7</v>
      </c>
      <c r="N2" s="25" t="s">
        <v>2</v>
      </c>
    </row>
    <row r="3" spans="1:14" ht="18" customHeight="1" x14ac:dyDescent="0.35">
      <c r="A3" s="133" t="s">
        <v>38</v>
      </c>
      <c r="B3" s="134" t="s">
        <v>32</v>
      </c>
      <c r="C3" s="134" t="s">
        <v>0</v>
      </c>
      <c r="D3" s="148" t="s">
        <v>8</v>
      </c>
      <c r="E3" s="149"/>
      <c r="F3" s="150"/>
      <c r="G3" s="36" t="s">
        <v>17</v>
      </c>
      <c r="H3" s="151" t="s">
        <v>13</v>
      </c>
      <c r="I3" s="151"/>
      <c r="J3" s="151"/>
      <c r="K3" s="151"/>
      <c r="L3" s="151"/>
      <c r="M3" s="137"/>
      <c r="N3" s="77" t="s">
        <v>65</v>
      </c>
    </row>
    <row r="4" spans="1:14" ht="18" customHeight="1" x14ac:dyDescent="0.35">
      <c r="A4" s="133"/>
      <c r="B4" s="134"/>
      <c r="C4" s="134"/>
      <c r="D4" s="6">
        <v>11.6</v>
      </c>
      <c r="E4" s="37">
        <f>D4*0.5</f>
        <v>5.8</v>
      </c>
      <c r="F4" s="38">
        <f>D4*0.5</f>
        <v>5.8</v>
      </c>
      <c r="G4" s="39">
        <f>G6/22</f>
        <v>3650</v>
      </c>
      <c r="H4" s="40"/>
      <c r="I4" s="41">
        <v>12</v>
      </c>
      <c r="J4" s="41">
        <v>20</v>
      </c>
      <c r="K4" s="41"/>
      <c r="L4" s="41">
        <v>3</v>
      </c>
      <c r="M4" s="4">
        <f>SUM(I4:K4)+(L4*4)</f>
        <v>44</v>
      </c>
      <c r="N4" s="77"/>
    </row>
    <row r="5" spans="1:14" ht="18" customHeight="1" x14ac:dyDescent="0.35">
      <c r="A5" s="133"/>
      <c r="B5" s="134"/>
      <c r="C5" s="134"/>
      <c r="D5" s="152" t="s">
        <v>10</v>
      </c>
      <c r="E5" s="153"/>
      <c r="F5" s="153"/>
      <c r="G5" s="154"/>
      <c r="H5" s="147" t="s">
        <v>9</v>
      </c>
      <c r="I5" s="147"/>
      <c r="J5" s="147"/>
      <c r="K5" s="147"/>
      <c r="L5" s="147"/>
      <c r="M5" s="21"/>
      <c r="N5" s="77"/>
    </row>
    <row r="6" spans="1:14" ht="18" customHeight="1" x14ac:dyDescent="0.35">
      <c r="A6" s="97" t="s">
        <v>16</v>
      </c>
      <c r="B6" s="98"/>
      <c r="C6" s="98"/>
      <c r="D6" s="3">
        <v>505269</v>
      </c>
      <c r="E6" s="42">
        <f>E4*43500</f>
        <v>252300</v>
      </c>
      <c r="F6" s="43">
        <f>F4*43500</f>
        <v>252300</v>
      </c>
      <c r="G6" s="44">
        <f>F6-H6</f>
        <v>80300</v>
      </c>
      <c r="H6" s="45">
        <f>SUM(I6:L6)</f>
        <v>172000</v>
      </c>
      <c r="I6" s="46">
        <f>I4*3500</f>
        <v>42000</v>
      </c>
      <c r="J6" s="46">
        <f>J4*5000</f>
        <v>100000</v>
      </c>
      <c r="K6" s="46">
        <f>K4*7000</f>
        <v>0</v>
      </c>
      <c r="L6" s="46">
        <f>L4*10000</f>
        <v>30000</v>
      </c>
      <c r="M6" s="17"/>
      <c r="N6" s="77"/>
    </row>
    <row r="7" spans="1:14" ht="18" hidden="1" customHeight="1" x14ac:dyDescent="0.35">
      <c r="A7" s="99" t="s">
        <v>5</v>
      </c>
      <c r="B7" s="100"/>
      <c r="C7" s="100"/>
      <c r="D7" s="100"/>
      <c r="E7" s="100"/>
      <c r="F7" s="100"/>
      <c r="G7" s="78">
        <f>G6+H6</f>
        <v>252300</v>
      </c>
      <c r="H7" s="79"/>
      <c r="I7" s="1"/>
      <c r="J7" s="1"/>
      <c r="K7" s="1"/>
      <c r="L7" s="1"/>
      <c r="M7" s="18"/>
      <c r="N7" s="77"/>
    </row>
    <row r="8" spans="1:14" ht="18" customHeight="1" x14ac:dyDescent="0.35">
      <c r="A8" s="133" t="s">
        <v>60</v>
      </c>
      <c r="B8" s="134" t="s">
        <v>32</v>
      </c>
      <c r="C8" s="134" t="s">
        <v>0</v>
      </c>
      <c r="D8" s="96" t="s">
        <v>8</v>
      </c>
      <c r="E8" s="96"/>
      <c r="F8" s="96"/>
      <c r="G8" s="22" t="s">
        <v>17</v>
      </c>
      <c r="H8" s="96" t="s">
        <v>13</v>
      </c>
      <c r="I8" s="96"/>
      <c r="J8" s="96"/>
      <c r="K8" s="96"/>
      <c r="L8" s="96"/>
      <c r="M8" s="18"/>
      <c r="N8" s="77" t="s">
        <v>69</v>
      </c>
    </row>
    <row r="9" spans="1:14" ht="18" customHeight="1" x14ac:dyDescent="0.35">
      <c r="A9" s="133"/>
      <c r="B9" s="134"/>
      <c r="C9" s="134"/>
      <c r="D9" s="6">
        <v>1.5</v>
      </c>
      <c r="E9" s="37">
        <f>D9*0.25</f>
        <v>0.375</v>
      </c>
      <c r="F9" s="38">
        <f>D9*0.75</f>
        <v>1.125</v>
      </c>
      <c r="G9" s="9">
        <f>G11/22</f>
        <v>406.25</v>
      </c>
      <c r="H9" s="10"/>
      <c r="I9" s="11"/>
      <c r="J9" s="11">
        <v>8</v>
      </c>
      <c r="K9" s="11"/>
      <c r="L9" s="11"/>
      <c r="M9" s="4">
        <f>SUM(I9:K9)+(L9*4)</f>
        <v>8</v>
      </c>
      <c r="N9" s="77"/>
    </row>
    <row r="10" spans="1:14" ht="18" customHeight="1" x14ac:dyDescent="0.35">
      <c r="A10" s="133"/>
      <c r="B10" s="134"/>
      <c r="C10" s="134"/>
      <c r="D10" s="135" t="s">
        <v>10</v>
      </c>
      <c r="E10" s="135"/>
      <c r="F10" s="135"/>
      <c r="G10" s="135"/>
      <c r="H10" s="138" t="s">
        <v>9</v>
      </c>
      <c r="I10" s="138"/>
      <c r="J10" s="138"/>
      <c r="K10" s="138"/>
      <c r="L10" s="138"/>
      <c r="M10" s="21"/>
      <c r="N10" s="77"/>
    </row>
    <row r="11" spans="1:14" ht="18" customHeight="1" x14ac:dyDescent="0.35">
      <c r="A11" s="97" t="s">
        <v>16</v>
      </c>
      <c r="B11" s="98"/>
      <c r="C11" s="98"/>
      <c r="D11" s="3">
        <v>64340</v>
      </c>
      <c r="E11" s="12">
        <f>E9*43500</f>
        <v>16312.5</v>
      </c>
      <c r="F11" s="5">
        <f>F9*43500</f>
        <v>48937.5</v>
      </c>
      <c r="G11" s="44">
        <f>F11-H11</f>
        <v>8937.5</v>
      </c>
      <c r="H11" s="14">
        <f>SUM(I11:L11)</f>
        <v>40000</v>
      </c>
      <c r="I11" s="15">
        <f>I9*3500</f>
        <v>0</v>
      </c>
      <c r="J11" s="15">
        <f>J9*5000</f>
        <v>40000</v>
      </c>
      <c r="K11" s="15">
        <f>K9*7000</f>
        <v>0</v>
      </c>
      <c r="L11" s="15">
        <f>L9*10000</f>
        <v>0</v>
      </c>
      <c r="M11" s="4"/>
      <c r="N11" s="77"/>
    </row>
    <row r="12" spans="1:14" ht="18" hidden="1" customHeight="1" x14ac:dyDescent="0.35">
      <c r="A12" s="99" t="s">
        <v>5</v>
      </c>
      <c r="B12" s="100"/>
      <c r="C12" s="100"/>
      <c r="D12" s="100"/>
      <c r="E12" s="100"/>
      <c r="F12" s="100"/>
      <c r="G12" s="78">
        <f>G11+H11</f>
        <v>48937.5</v>
      </c>
      <c r="H12" s="79"/>
      <c r="I12" s="1"/>
      <c r="J12" s="1"/>
      <c r="K12" s="1"/>
      <c r="L12" s="1"/>
      <c r="M12" s="18"/>
      <c r="N12" s="35"/>
    </row>
    <row r="13" spans="1:14" ht="18" customHeight="1" x14ac:dyDescent="0.35">
      <c r="A13" s="133" t="s">
        <v>62</v>
      </c>
      <c r="B13" s="134" t="s">
        <v>32</v>
      </c>
      <c r="C13" s="134" t="s">
        <v>0</v>
      </c>
      <c r="D13" s="96" t="s">
        <v>8</v>
      </c>
      <c r="E13" s="96"/>
      <c r="F13" s="96"/>
      <c r="G13" s="22" t="s">
        <v>17</v>
      </c>
      <c r="H13" s="96" t="s">
        <v>13</v>
      </c>
      <c r="I13" s="96"/>
      <c r="J13" s="96"/>
      <c r="K13" s="96"/>
      <c r="L13" s="96"/>
      <c r="M13" s="18"/>
      <c r="N13" s="77" t="s">
        <v>69</v>
      </c>
    </row>
    <row r="14" spans="1:14" ht="18" customHeight="1" x14ac:dyDescent="0.35">
      <c r="A14" s="133"/>
      <c r="B14" s="134"/>
      <c r="C14" s="134"/>
      <c r="D14" s="6">
        <v>7.31</v>
      </c>
      <c r="E14" s="37">
        <f>D14*0.25</f>
        <v>1.8274999999999999</v>
      </c>
      <c r="F14" s="38">
        <f>D14*0.75</f>
        <v>5.4824999999999999</v>
      </c>
      <c r="G14" s="9">
        <f>G16/22</f>
        <v>5749.488636363636</v>
      </c>
      <c r="H14" s="10"/>
      <c r="I14" s="11">
        <v>12</v>
      </c>
      <c r="J14" s="11">
        <v>8</v>
      </c>
      <c r="K14" s="11"/>
      <c r="L14" s="11">
        <v>3</v>
      </c>
      <c r="M14" s="4">
        <f>SUM(I14:K14)+(L14*4)</f>
        <v>32</v>
      </c>
      <c r="N14" s="77"/>
    </row>
    <row r="15" spans="1:14" ht="18" customHeight="1" x14ac:dyDescent="0.35">
      <c r="A15" s="133"/>
      <c r="B15" s="134"/>
      <c r="C15" s="134"/>
      <c r="D15" s="135" t="s">
        <v>10</v>
      </c>
      <c r="E15" s="135"/>
      <c r="F15" s="135"/>
      <c r="G15" s="135"/>
      <c r="H15" s="138" t="s">
        <v>9</v>
      </c>
      <c r="I15" s="138"/>
      <c r="J15" s="138"/>
      <c r="K15" s="138"/>
      <c r="L15" s="138"/>
      <c r="M15" s="21"/>
      <c r="N15" s="77"/>
    </row>
    <row r="16" spans="1:14" ht="18" customHeight="1" x14ac:dyDescent="0.35">
      <c r="A16" s="97" t="s">
        <v>16</v>
      </c>
      <c r="B16" s="98"/>
      <c r="C16" s="98"/>
      <c r="D16" s="3">
        <v>318424</v>
      </c>
      <c r="E16" s="12">
        <f>E14*43500</f>
        <v>79496.25</v>
      </c>
      <c r="F16" s="5">
        <f>F14*43500</f>
        <v>238488.75</v>
      </c>
      <c r="G16" s="44">
        <f>F16-H16</f>
        <v>126488.75</v>
      </c>
      <c r="H16" s="14">
        <f>SUM(I16:L16)</f>
        <v>112000</v>
      </c>
      <c r="I16" s="15">
        <f>I14*3500</f>
        <v>42000</v>
      </c>
      <c r="J16" s="15">
        <f>J14*5000</f>
        <v>40000</v>
      </c>
      <c r="K16" s="15">
        <f>K14*7000</f>
        <v>0</v>
      </c>
      <c r="L16" s="15">
        <f>L14*10000</f>
        <v>30000</v>
      </c>
      <c r="M16" s="4"/>
      <c r="N16" s="77"/>
    </row>
    <row r="17" spans="1:14" ht="18" hidden="1" customHeight="1" x14ac:dyDescent="0.35">
      <c r="A17" s="99" t="s">
        <v>5</v>
      </c>
      <c r="B17" s="100"/>
      <c r="C17" s="100"/>
      <c r="D17" s="100"/>
      <c r="E17" s="100"/>
      <c r="F17" s="100"/>
      <c r="G17" s="78">
        <f>G16+H16</f>
        <v>238488.75</v>
      </c>
      <c r="H17" s="79"/>
      <c r="I17" s="1"/>
      <c r="J17" s="1"/>
      <c r="K17" s="1"/>
      <c r="L17" s="1"/>
      <c r="M17" s="18"/>
      <c r="N17" s="35"/>
    </row>
    <row r="18" spans="1:14" ht="18" customHeight="1" x14ac:dyDescent="0.35">
      <c r="A18" s="133" t="s">
        <v>64</v>
      </c>
      <c r="B18" s="134" t="s">
        <v>32</v>
      </c>
      <c r="C18" s="134" t="s">
        <v>0</v>
      </c>
      <c r="D18" s="148" t="s">
        <v>8</v>
      </c>
      <c r="E18" s="149"/>
      <c r="F18" s="150"/>
      <c r="G18" s="36" t="s">
        <v>17</v>
      </c>
      <c r="H18" s="151" t="s">
        <v>13</v>
      </c>
      <c r="I18" s="151"/>
      <c r="J18" s="151"/>
      <c r="K18" s="151"/>
      <c r="L18" s="151"/>
      <c r="M18" s="18"/>
      <c r="N18" s="77" t="s">
        <v>65</v>
      </c>
    </row>
    <row r="19" spans="1:14" ht="18" customHeight="1" x14ac:dyDescent="0.35">
      <c r="A19" s="133"/>
      <c r="B19" s="134"/>
      <c r="C19" s="134"/>
      <c r="D19" s="6">
        <v>9.2200000000000006</v>
      </c>
      <c r="E19" s="37">
        <f>D19*0.5</f>
        <v>4.6100000000000003</v>
      </c>
      <c r="F19" s="38">
        <f>D19*0.5</f>
        <v>4.6100000000000003</v>
      </c>
      <c r="G19" s="39">
        <f>G21/22</f>
        <v>3342.5</v>
      </c>
      <c r="H19" s="40"/>
      <c r="I19" s="41">
        <v>12</v>
      </c>
      <c r="J19" s="41">
        <v>15</v>
      </c>
      <c r="K19" s="41"/>
      <c r="L19" s="41">
        <v>1</v>
      </c>
      <c r="M19" s="4">
        <f>SUM(I19:K19)+(L19*4)</f>
        <v>31</v>
      </c>
      <c r="N19" s="77"/>
    </row>
    <row r="20" spans="1:14" ht="18" customHeight="1" x14ac:dyDescent="0.35">
      <c r="A20" s="133"/>
      <c r="B20" s="134"/>
      <c r="C20" s="134"/>
      <c r="D20" s="152" t="s">
        <v>10</v>
      </c>
      <c r="E20" s="153"/>
      <c r="F20" s="153"/>
      <c r="G20" s="154"/>
      <c r="H20" s="147" t="s">
        <v>9</v>
      </c>
      <c r="I20" s="147"/>
      <c r="J20" s="147"/>
      <c r="K20" s="147"/>
      <c r="L20" s="147"/>
      <c r="M20" s="21"/>
      <c r="N20" s="77"/>
    </row>
    <row r="21" spans="1:14" ht="18" customHeight="1" x14ac:dyDescent="0.35">
      <c r="A21" s="97" t="s">
        <v>16</v>
      </c>
      <c r="B21" s="98"/>
      <c r="C21" s="98"/>
      <c r="D21" s="3">
        <v>401623</v>
      </c>
      <c r="E21" s="42">
        <f>E19*43500</f>
        <v>200535</v>
      </c>
      <c r="F21" s="43">
        <f>F19*43500</f>
        <v>200535</v>
      </c>
      <c r="G21" s="44">
        <f>F21-H21</f>
        <v>73535</v>
      </c>
      <c r="H21" s="45">
        <f>SUM(I21:L21)</f>
        <v>127000</v>
      </c>
      <c r="I21" s="46">
        <f>I19*3500</f>
        <v>42000</v>
      </c>
      <c r="J21" s="46">
        <f>J19*5000</f>
        <v>75000</v>
      </c>
      <c r="K21" s="46">
        <f>K19*7000</f>
        <v>0</v>
      </c>
      <c r="L21" s="46">
        <f>L19*10000</f>
        <v>10000</v>
      </c>
      <c r="M21" s="17"/>
      <c r="N21" s="77"/>
    </row>
    <row r="22" spans="1:14" ht="18" hidden="1" customHeight="1" x14ac:dyDescent="0.35">
      <c r="A22" s="99" t="s">
        <v>5</v>
      </c>
      <c r="B22" s="100"/>
      <c r="C22" s="100"/>
      <c r="D22" s="100"/>
      <c r="E22" s="100"/>
      <c r="F22" s="100"/>
      <c r="G22" s="78">
        <f>G21+H21</f>
        <v>200535</v>
      </c>
      <c r="H22" s="79"/>
      <c r="I22" s="1"/>
      <c r="J22" s="1"/>
      <c r="K22" s="1"/>
      <c r="L22" s="1"/>
      <c r="M22" s="18"/>
      <c r="N22" s="77"/>
    </row>
    <row r="23" spans="1:14" ht="18" customHeight="1" x14ac:dyDescent="0.35">
      <c r="A23" s="133" t="s">
        <v>63</v>
      </c>
      <c r="B23" s="134" t="s">
        <v>32</v>
      </c>
      <c r="C23" s="134" t="s">
        <v>0</v>
      </c>
      <c r="D23" s="96" t="s">
        <v>8</v>
      </c>
      <c r="E23" s="96"/>
      <c r="F23" s="96"/>
      <c r="G23" s="22" t="s">
        <v>17</v>
      </c>
      <c r="H23" s="96" t="s">
        <v>13</v>
      </c>
      <c r="I23" s="96"/>
      <c r="J23" s="96"/>
      <c r="K23" s="96"/>
      <c r="L23" s="96"/>
      <c r="M23" s="18"/>
      <c r="N23" s="77" t="s">
        <v>69</v>
      </c>
    </row>
    <row r="24" spans="1:14" ht="18" customHeight="1" x14ac:dyDescent="0.35">
      <c r="A24" s="133"/>
      <c r="B24" s="134"/>
      <c r="C24" s="134"/>
      <c r="D24" s="6">
        <v>5.14</v>
      </c>
      <c r="E24" s="37">
        <f>D24*0.25</f>
        <v>1.2849999999999999</v>
      </c>
      <c r="F24" s="38">
        <f>D24*0.75</f>
        <v>3.8549999999999995</v>
      </c>
      <c r="G24" s="9">
        <f>G26/22</f>
        <v>3486.0227272727261</v>
      </c>
      <c r="H24" s="10"/>
      <c r="I24" s="11">
        <v>6</v>
      </c>
      <c r="J24" s="11">
        <v>8</v>
      </c>
      <c r="K24" s="11"/>
      <c r="L24" s="11">
        <v>3</v>
      </c>
      <c r="M24" s="4">
        <f>SUM(I24:K24)+(L24*4)</f>
        <v>26</v>
      </c>
      <c r="N24" s="77"/>
    </row>
    <row r="25" spans="1:14" ht="18" customHeight="1" x14ac:dyDescent="0.35">
      <c r="A25" s="133"/>
      <c r="B25" s="134"/>
      <c r="C25" s="134"/>
      <c r="D25" s="135" t="s">
        <v>10</v>
      </c>
      <c r="E25" s="135"/>
      <c r="F25" s="135"/>
      <c r="G25" s="135"/>
      <c r="H25" s="138" t="s">
        <v>9</v>
      </c>
      <c r="I25" s="138"/>
      <c r="J25" s="138"/>
      <c r="K25" s="138"/>
      <c r="L25" s="138"/>
      <c r="M25" s="21"/>
      <c r="N25" s="77"/>
    </row>
    <row r="26" spans="1:14" ht="18" customHeight="1" x14ac:dyDescent="0.35">
      <c r="A26" s="97" t="s">
        <v>16</v>
      </c>
      <c r="B26" s="98"/>
      <c r="C26" s="98"/>
      <c r="D26" s="3">
        <v>223898</v>
      </c>
      <c r="E26" s="12">
        <f>E24*43500</f>
        <v>55897.5</v>
      </c>
      <c r="F26" s="5">
        <f>F24*43500</f>
        <v>167692.49999999997</v>
      </c>
      <c r="G26" s="44">
        <f>F26-H26</f>
        <v>76692.499999999971</v>
      </c>
      <c r="H26" s="14">
        <f>SUM(I26:L26)</f>
        <v>91000</v>
      </c>
      <c r="I26" s="15">
        <f>I24*3500</f>
        <v>21000</v>
      </c>
      <c r="J26" s="15">
        <f>J24*5000</f>
        <v>40000</v>
      </c>
      <c r="K26" s="15">
        <f>K24*7000</f>
        <v>0</v>
      </c>
      <c r="L26" s="15">
        <f>L24*10000</f>
        <v>30000</v>
      </c>
      <c r="M26" s="4"/>
      <c r="N26" s="77"/>
    </row>
    <row r="27" spans="1:14" ht="18" hidden="1" customHeight="1" x14ac:dyDescent="0.35">
      <c r="A27" s="99" t="s">
        <v>5</v>
      </c>
      <c r="B27" s="100"/>
      <c r="C27" s="100"/>
      <c r="D27" s="100"/>
      <c r="E27" s="100"/>
      <c r="F27" s="100"/>
      <c r="G27" s="78">
        <f>G26+H26</f>
        <v>167692.49999999997</v>
      </c>
      <c r="H27" s="79"/>
      <c r="I27" s="1"/>
      <c r="J27" s="1"/>
      <c r="K27" s="1"/>
      <c r="L27" s="1"/>
      <c r="M27" s="18"/>
      <c r="N27" s="35"/>
    </row>
    <row r="28" spans="1:14" ht="22" customHeight="1" thickBot="1" x14ac:dyDescent="0.4">
      <c r="A28" s="88" t="s">
        <v>54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23">
        <f>SUM(M4:M26)</f>
        <v>141</v>
      </c>
      <c r="N28" s="24"/>
    </row>
    <row r="29" spans="1:14" ht="22" customHeight="1" thickBot="1" x14ac:dyDescent="0.4">
      <c r="A29" s="105" t="s">
        <v>25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7"/>
    </row>
    <row r="30" spans="1:14" ht="18" customHeight="1" x14ac:dyDescent="0.35">
      <c r="A30" s="108" t="s">
        <v>22</v>
      </c>
      <c r="B30" s="109"/>
      <c r="C30" s="120" t="s">
        <v>28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1"/>
    </row>
    <row r="31" spans="1:14" ht="18" customHeight="1" x14ac:dyDescent="0.35">
      <c r="A31" s="110" t="s">
        <v>18</v>
      </c>
      <c r="B31" s="111"/>
      <c r="C31" s="122" t="s">
        <v>49</v>
      </c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3"/>
    </row>
    <row r="32" spans="1:14" ht="18" customHeight="1" x14ac:dyDescent="0.35">
      <c r="A32" s="112" t="s">
        <v>19</v>
      </c>
      <c r="B32" s="113"/>
      <c r="C32" s="124" t="s">
        <v>51</v>
      </c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5"/>
    </row>
    <row r="33" spans="1:14" ht="18" customHeight="1" x14ac:dyDescent="0.35">
      <c r="A33" s="114" t="s">
        <v>26</v>
      </c>
      <c r="B33" s="115"/>
      <c r="C33" s="90" t="s">
        <v>52</v>
      </c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1"/>
    </row>
    <row r="34" spans="1:14" ht="18" customHeight="1" x14ac:dyDescent="0.35">
      <c r="A34" s="116" t="s">
        <v>21</v>
      </c>
      <c r="B34" s="117"/>
      <c r="C34" s="94" t="s">
        <v>4</v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5"/>
    </row>
    <row r="35" spans="1:14" ht="18" customHeight="1" x14ac:dyDescent="0.35">
      <c r="A35" s="126" t="s">
        <v>23</v>
      </c>
      <c r="B35" s="127"/>
      <c r="C35" s="128" t="s">
        <v>29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9"/>
    </row>
    <row r="36" spans="1:14" ht="18" customHeight="1" x14ac:dyDescent="0.35">
      <c r="A36" s="84" t="s">
        <v>30</v>
      </c>
      <c r="B36" s="85"/>
      <c r="C36" s="86" t="s">
        <v>37</v>
      </c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7"/>
    </row>
    <row r="37" spans="1:14" ht="18" customHeight="1" x14ac:dyDescent="0.35">
      <c r="A37" s="80" t="s">
        <v>24</v>
      </c>
      <c r="B37" s="81"/>
      <c r="C37" s="82" t="s">
        <v>27</v>
      </c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3"/>
    </row>
    <row r="38" spans="1:14" ht="18" customHeight="1" thickBot="1" x14ac:dyDescent="0.4">
      <c r="A38" s="101" t="s">
        <v>7</v>
      </c>
      <c r="B38" s="102"/>
      <c r="C38" s="103" t="s">
        <v>54</v>
      </c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4"/>
    </row>
  </sheetData>
  <mergeCells count="77">
    <mergeCell ref="N3:N7"/>
    <mergeCell ref="D8:F8"/>
    <mergeCell ref="A1:M1"/>
    <mergeCell ref="M2:M3"/>
    <mergeCell ref="A3:A5"/>
    <mergeCell ref="B3:B5"/>
    <mergeCell ref="C3:C5"/>
    <mergeCell ref="H3:L3"/>
    <mergeCell ref="H8:L8"/>
    <mergeCell ref="N8:N11"/>
    <mergeCell ref="D10:G10"/>
    <mergeCell ref="H10:L10"/>
    <mergeCell ref="A11:C11"/>
    <mergeCell ref="D3:F3"/>
    <mergeCell ref="D5:G5"/>
    <mergeCell ref="H5:L5"/>
    <mergeCell ref="A28:L28"/>
    <mergeCell ref="A29:N29"/>
    <mergeCell ref="A30:B30"/>
    <mergeCell ref="C30:N30"/>
    <mergeCell ref="A31:B31"/>
    <mergeCell ref="C31:N31"/>
    <mergeCell ref="C32:N32"/>
    <mergeCell ref="A33:B33"/>
    <mergeCell ref="C33:N33"/>
    <mergeCell ref="A34:B34"/>
    <mergeCell ref="C34:N34"/>
    <mergeCell ref="A38:B38"/>
    <mergeCell ref="C38:N38"/>
    <mergeCell ref="A13:A15"/>
    <mergeCell ref="B13:B15"/>
    <mergeCell ref="C13:C15"/>
    <mergeCell ref="D13:F13"/>
    <mergeCell ref="H13:L13"/>
    <mergeCell ref="D15:G15"/>
    <mergeCell ref="H15:L15"/>
    <mergeCell ref="A35:B35"/>
    <mergeCell ref="C35:N35"/>
    <mergeCell ref="A36:B36"/>
    <mergeCell ref="C36:N36"/>
    <mergeCell ref="A37:B37"/>
    <mergeCell ref="C37:N37"/>
    <mergeCell ref="A32:B32"/>
    <mergeCell ref="A27:F27"/>
    <mergeCell ref="G27:H27"/>
    <mergeCell ref="A16:C16"/>
    <mergeCell ref="A17:F17"/>
    <mergeCell ref="G17:H17"/>
    <mergeCell ref="A23:A25"/>
    <mergeCell ref="B23:B25"/>
    <mergeCell ref="C23:C25"/>
    <mergeCell ref="D23:F23"/>
    <mergeCell ref="H23:L23"/>
    <mergeCell ref="A18:A20"/>
    <mergeCell ref="B18:B20"/>
    <mergeCell ref="C18:C20"/>
    <mergeCell ref="D18:F18"/>
    <mergeCell ref="H18:L18"/>
    <mergeCell ref="D20:G20"/>
    <mergeCell ref="N13:N16"/>
    <mergeCell ref="D25:G25"/>
    <mergeCell ref="H25:L25"/>
    <mergeCell ref="A26:C26"/>
    <mergeCell ref="N23:N26"/>
    <mergeCell ref="N18:N22"/>
    <mergeCell ref="H20:L20"/>
    <mergeCell ref="A21:C21"/>
    <mergeCell ref="A22:F22"/>
    <mergeCell ref="G22:H22"/>
    <mergeCell ref="A6:C6"/>
    <mergeCell ref="A7:F7"/>
    <mergeCell ref="G7:H7"/>
    <mergeCell ref="A12:F12"/>
    <mergeCell ref="G12:H12"/>
    <mergeCell ref="A8:A10"/>
    <mergeCell ref="B8:B10"/>
    <mergeCell ref="C8:C10"/>
  </mergeCells>
  <pageMargins left="0.7" right="0.7" top="0.75" bottom="0.75" header="0.3" footer="0.3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890A3-7748-4E54-A170-863C2E89BB96}">
  <dimension ref="A1:N38"/>
  <sheetViews>
    <sheetView zoomScale="75" zoomScaleNormal="75" workbookViewId="0">
      <selection activeCell="S5" sqref="S5"/>
    </sheetView>
  </sheetViews>
  <sheetFormatPr defaultRowHeight="18.5" x14ac:dyDescent="0.35"/>
  <cols>
    <col min="1" max="1" width="30.26953125" style="19" customWidth="1"/>
    <col min="2" max="2" width="23.54296875" style="2" customWidth="1"/>
    <col min="3" max="3" width="12.90625" style="2" customWidth="1"/>
    <col min="4" max="4" width="11.1796875" style="2" customWidth="1"/>
    <col min="5" max="5" width="12.453125" style="2" customWidth="1"/>
    <col min="6" max="6" width="16.26953125" style="2" customWidth="1"/>
    <col min="7" max="7" width="13.26953125" style="2" customWidth="1"/>
    <col min="8" max="8" width="11.26953125" style="2" customWidth="1"/>
    <col min="9" max="12" width="12.6328125" style="2" customWidth="1"/>
    <col min="13" max="13" width="9.7265625" style="2" customWidth="1"/>
    <col min="14" max="14" width="42.54296875" style="2" customWidth="1"/>
    <col min="15" max="16384" width="8.7265625" style="2"/>
  </cols>
  <sheetData>
    <row r="1" spans="1:14" ht="24" thickBot="1" x14ac:dyDescent="0.4">
      <c r="A1" s="130" t="s">
        <v>82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2"/>
      <c r="N1" s="26">
        <v>45775</v>
      </c>
    </row>
    <row r="2" spans="1:14" s="19" customFormat="1" ht="185" customHeight="1" x14ac:dyDescent="0.45">
      <c r="A2" s="27" t="s">
        <v>15</v>
      </c>
      <c r="B2" s="28" t="s">
        <v>11</v>
      </c>
      <c r="C2" s="28" t="s">
        <v>1</v>
      </c>
      <c r="D2" s="29" t="s">
        <v>6</v>
      </c>
      <c r="E2" s="30" t="s">
        <v>80</v>
      </c>
      <c r="F2" s="31" t="s">
        <v>119</v>
      </c>
      <c r="G2" s="32" t="s">
        <v>20</v>
      </c>
      <c r="H2" s="33" t="s">
        <v>4</v>
      </c>
      <c r="I2" s="34" t="s">
        <v>58</v>
      </c>
      <c r="J2" s="34" t="s">
        <v>56</v>
      </c>
      <c r="K2" s="34" t="s">
        <v>55</v>
      </c>
      <c r="L2" s="34" t="s">
        <v>57</v>
      </c>
      <c r="M2" s="49" t="s">
        <v>7</v>
      </c>
      <c r="N2" s="25" t="s">
        <v>2</v>
      </c>
    </row>
    <row r="3" spans="1:14" ht="18" customHeight="1" x14ac:dyDescent="0.35">
      <c r="A3" s="133" t="s">
        <v>68</v>
      </c>
      <c r="B3" s="134" t="s">
        <v>32</v>
      </c>
      <c r="C3" s="155" t="s">
        <v>67</v>
      </c>
      <c r="D3" s="96" t="s">
        <v>8</v>
      </c>
      <c r="E3" s="96"/>
      <c r="F3" s="96"/>
      <c r="G3" s="22" t="s">
        <v>17</v>
      </c>
      <c r="H3" s="96" t="s">
        <v>13</v>
      </c>
      <c r="I3" s="96"/>
      <c r="J3" s="96"/>
      <c r="K3" s="96"/>
      <c r="L3" s="96"/>
      <c r="M3" s="49"/>
      <c r="N3" s="77"/>
    </row>
    <row r="4" spans="1:14" ht="18" customHeight="1" x14ac:dyDescent="0.35">
      <c r="A4" s="133"/>
      <c r="B4" s="134"/>
      <c r="C4" s="155"/>
      <c r="D4" s="6">
        <v>1.1399999999999999</v>
      </c>
      <c r="E4" s="7">
        <f>D4*0.5</f>
        <v>0.56999999999999995</v>
      </c>
      <c r="F4" s="8">
        <f>D4*0.5</f>
        <v>0.56999999999999995</v>
      </c>
      <c r="G4" s="9">
        <f>G6/22</f>
        <v>217.9545454545453</v>
      </c>
      <c r="H4" s="10"/>
      <c r="I4" s="11"/>
      <c r="J4" s="11">
        <v>4</v>
      </c>
      <c r="K4" s="11"/>
      <c r="L4" s="11"/>
      <c r="M4" s="4">
        <f>SUM(I4:K4)+(L4*4)</f>
        <v>4</v>
      </c>
      <c r="N4" s="77"/>
    </row>
    <row r="5" spans="1:14" ht="18" customHeight="1" x14ac:dyDescent="0.35">
      <c r="A5" s="133"/>
      <c r="B5" s="134"/>
      <c r="C5" s="155"/>
      <c r="D5" s="135" t="s">
        <v>10</v>
      </c>
      <c r="E5" s="135"/>
      <c r="F5" s="135"/>
      <c r="G5" s="135"/>
      <c r="H5" s="138" t="s">
        <v>9</v>
      </c>
      <c r="I5" s="138"/>
      <c r="J5" s="138"/>
      <c r="K5" s="138"/>
      <c r="L5" s="138"/>
      <c r="M5" s="49"/>
      <c r="N5" s="77"/>
    </row>
    <row r="6" spans="1:14" ht="18" customHeight="1" x14ac:dyDescent="0.35">
      <c r="A6" s="97" t="s">
        <v>16</v>
      </c>
      <c r="B6" s="98"/>
      <c r="C6" s="98"/>
      <c r="D6" s="3">
        <v>49658</v>
      </c>
      <c r="E6" s="12">
        <f>E4*43500</f>
        <v>24794.999999999996</v>
      </c>
      <c r="F6" s="5">
        <f>F4*43500</f>
        <v>24794.999999999996</v>
      </c>
      <c r="G6" s="44">
        <f>F6-H6</f>
        <v>4794.9999999999964</v>
      </c>
      <c r="H6" s="14">
        <f>SUM(I6:L6)</f>
        <v>20000</v>
      </c>
      <c r="I6" s="15">
        <f>I4*3500</f>
        <v>0</v>
      </c>
      <c r="J6" s="15">
        <f>J4*5000</f>
        <v>20000</v>
      </c>
      <c r="K6" s="15">
        <f>K4*7000</f>
        <v>0</v>
      </c>
      <c r="L6" s="15">
        <f>L4*10000</f>
        <v>0</v>
      </c>
      <c r="M6" s="49"/>
      <c r="N6" s="77"/>
    </row>
    <row r="7" spans="1:14" ht="18" hidden="1" customHeight="1" x14ac:dyDescent="0.35">
      <c r="A7" s="99" t="s">
        <v>5</v>
      </c>
      <c r="B7" s="100"/>
      <c r="C7" s="100"/>
      <c r="D7" s="100"/>
      <c r="E7" s="100"/>
      <c r="F7" s="100"/>
      <c r="G7" s="78">
        <f>G6+H6</f>
        <v>24794.999999999996</v>
      </c>
      <c r="H7" s="79"/>
      <c r="I7" s="1"/>
      <c r="J7" s="1"/>
      <c r="K7" s="1"/>
      <c r="L7" s="1"/>
      <c r="M7" s="49"/>
      <c r="N7" s="35"/>
    </row>
    <row r="8" spans="1:14" ht="18" customHeight="1" x14ac:dyDescent="0.35">
      <c r="A8" s="133" t="s">
        <v>78</v>
      </c>
      <c r="B8" s="134" t="s">
        <v>32</v>
      </c>
      <c r="C8" s="155" t="s">
        <v>67</v>
      </c>
      <c r="D8" s="96" t="s">
        <v>8</v>
      </c>
      <c r="E8" s="96"/>
      <c r="F8" s="96"/>
      <c r="G8" s="22" t="s">
        <v>17</v>
      </c>
      <c r="H8" s="96" t="s">
        <v>13</v>
      </c>
      <c r="I8" s="96"/>
      <c r="J8" s="96"/>
      <c r="K8" s="96"/>
      <c r="L8" s="96"/>
      <c r="M8" s="49"/>
      <c r="N8" s="77"/>
    </row>
    <row r="9" spans="1:14" ht="18" customHeight="1" x14ac:dyDescent="0.35">
      <c r="A9" s="133"/>
      <c r="B9" s="134"/>
      <c r="C9" s="155"/>
      <c r="D9" s="6">
        <v>0.84</v>
      </c>
      <c r="E9" s="7">
        <f>D9*0.5</f>
        <v>0.42</v>
      </c>
      <c r="F9" s="8">
        <f>D9*0.5</f>
        <v>0.42</v>
      </c>
      <c r="G9" s="9">
        <f>G11/22</f>
        <v>148.63636363636363</v>
      </c>
      <c r="H9" s="10"/>
      <c r="I9" s="11"/>
      <c r="J9" s="11">
        <v>3</v>
      </c>
      <c r="K9" s="11"/>
      <c r="L9" s="11"/>
      <c r="M9" s="4">
        <f>SUM(I9:K9)+(L9*4)</f>
        <v>3</v>
      </c>
      <c r="N9" s="77"/>
    </row>
    <row r="10" spans="1:14" ht="18" customHeight="1" x14ac:dyDescent="0.35">
      <c r="A10" s="133"/>
      <c r="B10" s="134"/>
      <c r="C10" s="155"/>
      <c r="D10" s="135" t="s">
        <v>10</v>
      </c>
      <c r="E10" s="135"/>
      <c r="F10" s="135"/>
      <c r="G10" s="135"/>
      <c r="H10" s="138" t="s">
        <v>9</v>
      </c>
      <c r="I10" s="138"/>
      <c r="J10" s="138"/>
      <c r="K10" s="138"/>
      <c r="L10" s="138"/>
      <c r="M10" s="49"/>
      <c r="N10" s="77"/>
    </row>
    <row r="11" spans="1:14" ht="18" customHeight="1" x14ac:dyDescent="0.35">
      <c r="A11" s="97" t="s">
        <v>16</v>
      </c>
      <c r="B11" s="98"/>
      <c r="C11" s="98"/>
      <c r="D11" s="3">
        <v>36590</v>
      </c>
      <c r="E11" s="12">
        <f>E9*43500</f>
        <v>18270</v>
      </c>
      <c r="F11" s="5">
        <f>F9*43500</f>
        <v>18270</v>
      </c>
      <c r="G11" s="44">
        <f>F11-H11</f>
        <v>3270</v>
      </c>
      <c r="H11" s="14">
        <f>SUM(I11:L11)</f>
        <v>15000</v>
      </c>
      <c r="I11" s="15">
        <f>I9*3500</f>
        <v>0</v>
      </c>
      <c r="J11" s="15">
        <f>J9*5000</f>
        <v>15000</v>
      </c>
      <c r="K11" s="15">
        <f>K9*7000</f>
        <v>0</v>
      </c>
      <c r="L11" s="15">
        <f>L9*10000</f>
        <v>0</v>
      </c>
      <c r="M11" s="49"/>
      <c r="N11" s="77"/>
    </row>
    <row r="12" spans="1:14" ht="18" hidden="1" customHeight="1" x14ac:dyDescent="0.35">
      <c r="A12" s="99" t="s">
        <v>5</v>
      </c>
      <c r="B12" s="100"/>
      <c r="C12" s="100"/>
      <c r="D12" s="100"/>
      <c r="E12" s="100"/>
      <c r="F12" s="100"/>
      <c r="G12" s="78">
        <f>G11+H11</f>
        <v>18270</v>
      </c>
      <c r="H12" s="79"/>
      <c r="I12" s="1"/>
      <c r="J12" s="1"/>
      <c r="K12" s="1"/>
      <c r="L12" s="1"/>
      <c r="M12" s="49"/>
      <c r="N12" s="35"/>
    </row>
    <row r="13" spans="1:14" ht="18" customHeight="1" x14ac:dyDescent="0.35">
      <c r="A13" s="133" t="s">
        <v>83</v>
      </c>
      <c r="B13" s="134" t="s">
        <v>32</v>
      </c>
      <c r="C13" s="155" t="s">
        <v>67</v>
      </c>
      <c r="D13" s="96" t="s">
        <v>8</v>
      </c>
      <c r="E13" s="96"/>
      <c r="F13" s="96"/>
      <c r="G13" s="22" t="s">
        <v>17</v>
      </c>
      <c r="H13" s="96" t="s">
        <v>13</v>
      </c>
      <c r="I13" s="96"/>
      <c r="J13" s="96"/>
      <c r="K13" s="96"/>
      <c r="L13" s="96"/>
      <c r="M13" s="50"/>
      <c r="N13" s="77"/>
    </row>
    <row r="14" spans="1:14" ht="18" customHeight="1" x14ac:dyDescent="0.35">
      <c r="A14" s="133"/>
      <c r="B14" s="134"/>
      <c r="C14" s="155"/>
      <c r="D14" s="6">
        <v>4.8499999999999996</v>
      </c>
      <c r="E14" s="7">
        <f>D14*0.5</f>
        <v>2.4249999999999998</v>
      </c>
      <c r="F14" s="8">
        <f>D14*0.5</f>
        <v>2.4249999999999998</v>
      </c>
      <c r="G14" s="9">
        <f>G16/22</f>
        <v>2885.795454545454</v>
      </c>
      <c r="H14" s="10"/>
      <c r="I14" s="11">
        <v>12</v>
      </c>
      <c r="J14" s="11"/>
      <c r="K14" s="11"/>
      <c r="L14" s="11"/>
      <c r="M14" s="4">
        <f>SUM(I14:K14)+(L14*4)</f>
        <v>12</v>
      </c>
      <c r="N14" s="77"/>
    </row>
    <row r="15" spans="1:14" ht="18" customHeight="1" x14ac:dyDescent="0.35">
      <c r="A15" s="133"/>
      <c r="B15" s="134"/>
      <c r="C15" s="155"/>
      <c r="D15" s="135" t="s">
        <v>10</v>
      </c>
      <c r="E15" s="135"/>
      <c r="F15" s="135"/>
      <c r="G15" s="135"/>
      <c r="H15" s="138" t="s">
        <v>9</v>
      </c>
      <c r="I15" s="138"/>
      <c r="J15" s="138"/>
      <c r="K15" s="138"/>
      <c r="L15" s="138"/>
      <c r="M15" s="21"/>
      <c r="N15" s="77"/>
    </row>
    <row r="16" spans="1:14" ht="18" customHeight="1" x14ac:dyDescent="0.35">
      <c r="A16" s="97" t="s">
        <v>16</v>
      </c>
      <c r="B16" s="98"/>
      <c r="C16" s="98"/>
      <c r="D16" s="3">
        <v>211266</v>
      </c>
      <c r="E16" s="12">
        <f>E14*43500</f>
        <v>105487.49999999999</v>
      </c>
      <c r="F16" s="5">
        <f>F14*43500</f>
        <v>105487.49999999999</v>
      </c>
      <c r="G16" s="44">
        <f>F16-H16</f>
        <v>63487.499999999985</v>
      </c>
      <c r="H16" s="14">
        <f>SUM(I16:L16)</f>
        <v>42000</v>
      </c>
      <c r="I16" s="15">
        <f>I14*3500</f>
        <v>42000</v>
      </c>
      <c r="J16" s="15">
        <f>J14*5000</f>
        <v>0</v>
      </c>
      <c r="K16" s="15">
        <f>K14*7000</f>
        <v>0</v>
      </c>
      <c r="L16" s="15">
        <f>L14*10000</f>
        <v>0</v>
      </c>
      <c r="M16" s="17"/>
      <c r="N16" s="77"/>
    </row>
    <row r="17" spans="1:14" ht="18" hidden="1" customHeight="1" x14ac:dyDescent="0.35">
      <c r="A17" s="99" t="s">
        <v>5</v>
      </c>
      <c r="B17" s="100"/>
      <c r="C17" s="100"/>
      <c r="D17" s="100"/>
      <c r="E17" s="100"/>
      <c r="F17" s="100"/>
      <c r="G17" s="78">
        <f>G16+H16</f>
        <v>105487.49999999999</v>
      </c>
      <c r="H17" s="79"/>
      <c r="I17" s="1"/>
      <c r="J17" s="1"/>
      <c r="K17" s="1"/>
      <c r="L17" s="1"/>
      <c r="M17" s="18"/>
      <c r="N17" s="77"/>
    </row>
    <row r="18" spans="1:14" ht="18" customHeight="1" x14ac:dyDescent="0.35">
      <c r="A18" s="133" t="s">
        <v>79</v>
      </c>
      <c r="B18" s="134" t="s">
        <v>32</v>
      </c>
      <c r="C18" s="155" t="s">
        <v>67</v>
      </c>
      <c r="D18" s="96" t="s">
        <v>8</v>
      </c>
      <c r="E18" s="96"/>
      <c r="F18" s="96"/>
      <c r="G18" s="22" t="s">
        <v>17</v>
      </c>
      <c r="H18" s="96" t="s">
        <v>13</v>
      </c>
      <c r="I18" s="96"/>
      <c r="J18" s="96"/>
      <c r="K18" s="96"/>
      <c r="L18" s="96"/>
      <c r="M18" s="18"/>
      <c r="N18" s="140"/>
    </row>
    <row r="19" spans="1:14" ht="18" customHeight="1" x14ac:dyDescent="0.35">
      <c r="A19" s="133"/>
      <c r="B19" s="134"/>
      <c r="C19" s="155"/>
      <c r="D19" s="6">
        <v>6.2</v>
      </c>
      <c r="E19" s="7">
        <f>D19*0.5</f>
        <v>3.1</v>
      </c>
      <c r="F19" s="8">
        <f>D19*0.5</f>
        <v>3.1</v>
      </c>
      <c r="G19" s="9">
        <f>G21/22</f>
        <v>3584.090909090909</v>
      </c>
      <c r="H19" s="10"/>
      <c r="I19" s="11">
        <v>16</v>
      </c>
      <c r="J19" s="11"/>
      <c r="K19" s="11"/>
      <c r="L19" s="11"/>
      <c r="M19" s="4">
        <f>SUM(I19:K19)+(L19*4)</f>
        <v>16</v>
      </c>
      <c r="N19" s="141"/>
    </row>
    <row r="20" spans="1:14" ht="18" customHeight="1" x14ac:dyDescent="0.35">
      <c r="A20" s="133"/>
      <c r="B20" s="134"/>
      <c r="C20" s="155"/>
      <c r="D20" s="135" t="s">
        <v>10</v>
      </c>
      <c r="E20" s="135"/>
      <c r="F20" s="135"/>
      <c r="G20" s="135"/>
      <c r="H20" s="138" t="s">
        <v>9</v>
      </c>
      <c r="I20" s="138"/>
      <c r="J20" s="138"/>
      <c r="K20" s="138"/>
      <c r="L20" s="138"/>
      <c r="M20" s="21"/>
      <c r="N20" s="141"/>
    </row>
    <row r="21" spans="1:14" ht="18" customHeight="1" x14ac:dyDescent="0.35">
      <c r="A21" s="97" t="s">
        <v>16</v>
      </c>
      <c r="B21" s="98"/>
      <c r="C21" s="98"/>
      <c r="D21" s="3">
        <v>270072</v>
      </c>
      <c r="E21" s="12">
        <f>E19*43500</f>
        <v>134850</v>
      </c>
      <c r="F21" s="5">
        <f>F19*43500</f>
        <v>134850</v>
      </c>
      <c r="G21" s="44">
        <f>F21-H21</f>
        <v>78850</v>
      </c>
      <c r="H21" s="14">
        <f>SUM(I21:L21)</f>
        <v>56000</v>
      </c>
      <c r="I21" s="15">
        <f>I19*3500</f>
        <v>56000</v>
      </c>
      <c r="J21" s="15">
        <f>J19*5000</f>
        <v>0</v>
      </c>
      <c r="K21" s="15">
        <f>K19*7000</f>
        <v>0</v>
      </c>
      <c r="L21" s="15">
        <f>L19*10000</f>
        <v>0</v>
      </c>
      <c r="M21" s="49"/>
      <c r="N21" s="142"/>
    </row>
    <row r="22" spans="1:14" ht="18" hidden="1" customHeight="1" x14ac:dyDescent="0.35">
      <c r="A22" s="99" t="s">
        <v>5</v>
      </c>
      <c r="B22" s="100"/>
      <c r="C22" s="100"/>
      <c r="D22" s="100"/>
      <c r="E22" s="100"/>
      <c r="F22" s="100"/>
      <c r="G22" s="78">
        <f>SUM(G19:H19)</f>
        <v>3584.090909090909</v>
      </c>
      <c r="H22" s="79"/>
      <c r="I22" s="1"/>
      <c r="J22" s="1"/>
      <c r="K22" s="1"/>
      <c r="L22" s="1"/>
      <c r="M22" s="18"/>
      <c r="N22" s="51"/>
    </row>
    <row r="23" spans="1:14" ht="18" customHeight="1" x14ac:dyDescent="0.35">
      <c r="A23" s="133" t="s">
        <v>39</v>
      </c>
      <c r="B23" s="134" t="s">
        <v>40</v>
      </c>
      <c r="C23" s="134" t="s">
        <v>0</v>
      </c>
      <c r="D23" s="96" t="s">
        <v>8</v>
      </c>
      <c r="E23" s="96"/>
      <c r="F23" s="96"/>
      <c r="G23" s="22" t="s">
        <v>17</v>
      </c>
      <c r="H23" s="96" t="s">
        <v>13</v>
      </c>
      <c r="I23" s="96"/>
      <c r="J23" s="96"/>
      <c r="K23" s="96"/>
      <c r="L23" s="96"/>
      <c r="M23" s="18"/>
      <c r="N23" s="156" t="s">
        <v>84</v>
      </c>
    </row>
    <row r="24" spans="1:14" ht="18" customHeight="1" x14ac:dyDescent="0.35">
      <c r="A24" s="133"/>
      <c r="B24" s="134"/>
      <c r="C24" s="134"/>
      <c r="D24" s="6">
        <v>87.14</v>
      </c>
      <c r="E24" s="7">
        <f>D24*0.75</f>
        <v>65.355000000000004</v>
      </c>
      <c r="F24" s="8">
        <f>D24*0.25</f>
        <v>21.785</v>
      </c>
      <c r="G24" s="9">
        <f>G26/22</f>
        <v>19802.159090909092</v>
      </c>
      <c r="H24" s="10"/>
      <c r="I24" s="11"/>
      <c r="J24" s="11">
        <v>24</v>
      </c>
      <c r="K24" s="11">
        <v>49</v>
      </c>
      <c r="L24" s="11"/>
      <c r="M24" s="4">
        <f>SUM(I24:K24)+(L24*4)</f>
        <v>73</v>
      </c>
      <c r="N24" s="157"/>
    </row>
    <row r="25" spans="1:14" ht="18" customHeight="1" x14ac:dyDescent="0.35">
      <c r="A25" s="133"/>
      <c r="B25" s="134"/>
      <c r="C25" s="134"/>
      <c r="D25" s="135" t="s">
        <v>10</v>
      </c>
      <c r="E25" s="135"/>
      <c r="F25" s="135"/>
      <c r="G25" s="135"/>
      <c r="H25" s="138" t="s">
        <v>9</v>
      </c>
      <c r="I25" s="138"/>
      <c r="J25" s="138"/>
      <c r="K25" s="138"/>
      <c r="L25" s="138"/>
      <c r="M25" s="21"/>
      <c r="N25" s="157"/>
    </row>
    <row r="26" spans="1:14" ht="18" customHeight="1" x14ac:dyDescent="0.35">
      <c r="A26" s="97" t="s">
        <v>16</v>
      </c>
      <c r="B26" s="98"/>
      <c r="C26" s="98"/>
      <c r="D26" s="3">
        <v>3795818</v>
      </c>
      <c r="E26" s="12">
        <f>E24*43500</f>
        <v>2842942.5</v>
      </c>
      <c r="F26" s="5">
        <f>F24*43500</f>
        <v>947647.5</v>
      </c>
      <c r="G26" s="44">
        <f>F26-H26</f>
        <v>435647.5</v>
      </c>
      <c r="H26" s="14">
        <f>SUM(I26:L26)</f>
        <v>512000</v>
      </c>
      <c r="I26" s="15">
        <f>I24*3500</f>
        <v>0</v>
      </c>
      <c r="J26" s="15">
        <f>J24*5000</f>
        <v>120000</v>
      </c>
      <c r="K26" s="15">
        <f>K24*8000</f>
        <v>392000</v>
      </c>
      <c r="L26" s="15">
        <f>L24*10000</f>
        <v>0</v>
      </c>
      <c r="M26" s="4"/>
      <c r="N26" s="158"/>
    </row>
    <row r="27" spans="1:14" ht="18" hidden="1" customHeight="1" x14ac:dyDescent="0.35">
      <c r="A27" s="99" t="s">
        <v>5</v>
      </c>
      <c r="B27" s="100"/>
      <c r="C27" s="100"/>
      <c r="D27" s="100"/>
      <c r="E27" s="100"/>
      <c r="F27" s="100"/>
      <c r="G27" s="78">
        <f>G26+H26</f>
        <v>947647.5</v>
      </c>
      <c r="H27" s="79"/>
      <c r="I27" s="1"/>
      <c r="J27" s="1"/>
      <c r="K27" s="1"/>
      <c r="L27" s="1"/>
      <c r="M27" s="18"/>
      <c r="N27" s="51"/>
    </row>
    <row r="28" spans="1:14" ht="22" customHeight="1" thickBot="1" x14ac:dyDescent="0.4">
      <c r="A28" s="88" t="s">
        <v>54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23">
        <f>SUM(M3:M27)</f>
        <v>108</v>
      </c>
      <c r="N28" s="24"/>
    </row>
    <row r="29" spans="1:14" ht="22" customHeight="1" thickBot="1" x14ac:dyDescent="0.4">
      <c r="A29" s="105" t="s">
        <v>25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7"/>
    </row>
    <row r="30" spans="1:14" ht="18" customHeight="1" x14ac:dyDescent="0.35">
      <c r="A30" s="108" t="s">
        <v>22</v>
      </c>
      <c r="B30" s="109"/>
      <c r="C30" s="120" t="s">
        <v>28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1"/>
    </row>
    <row r="31" spans="1:14" ht="18" customHeight="1" x14ac:dyDescent="0.35">
      <c r="A31" s="110" t="s">
        <v>18</v>
      </c>
      <c r="B31" s="111"/>
      <c r="C31" s="122" t="s">
        <v>49</v>
      </c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3"/>
    </row>
    <row r="32" spans="1:14" ht="18" customHeight="1" x14ac:dyDescent="0.35">
      <c r="A32" s="112" t="s">
        <v>19</v>
      </c>
      <c r="B32" s="113"/>
      <c r="C32" s="124" t="s">
        <v>51</v>
      </c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5"/>
    </row>
    <row r="33" spans="1:14" ht="18" customHeight="1" x14ac:dyDescent="0.35">
      <c r="A33" s="114" t="s">
        <v>26</v>
      </c>
      <c r="B33" s="115"/>
      <c r="C33" s="90" t="s">
        <v>52</v>
      </c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1"/>
    </row>
    <row r="34" spans="1:14" ht="18" customHeight="1" x14ac:dyDescent="0.35">
      <c r="A34" s="116" t="s">
        <v>21</v>
      </c>
      <c r="B34" s="117"/>
      <c r="C34" s="94" t="s">
        <v>4</v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5"/>
    </row>
    <row r="35" spans="1:14" ht="18" customHeight="1" x14ac:dyDescent="0.35">
      <c r="A35" s="126" t="s">
        <v>23</v>
      </c>
      <c r="B35" s="127"/>
      <c r="C35" s="128" t="s">
        <v>29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9"/>
    </row>
    <row r="36" spans="1:14" ht="18" customHeight="1" x14ac:dyDescent="0.35">
      <c r="A36" s="84" t="s">
        <v>30</v>
      </c>
      <c r="B36" s="85"/>
      <c r="C36" s="86" t="s">
        <v>37</v>
      </c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7"/>
    </row>
    <row r="37" spans="1:14" ht="18" customHeight="1" x14ac:dyDescent="0.35">
      <c r="A37" s="80" t="s">
        <v>24</v>
      </c>
      <c r="B37" s="81"/>
      <c r="C37" s="82" t="s">
        <v>27</v>
      </c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3"/>
    </row>
    <row r="38" spans="1:14" ht="18" customHeight="1" thickBot="1" x14ac:dyDescent="0.4">
      <c r="A38" s="101" t="s">
        <v>7</v>
      </c>
      <c r="B38" s="102"/>
      <c r="C38" s="103" t="s">
        <v>54</v>
      </c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4"/>
    </row>
  </sheetData>
  <mergeCells count="76">
    <mergeCell ref="A21:C21"/>
    <mergeCell ref="N18:N21"/>
    <mergeCell ref="N23:N26"/>
    <mergeCell ref="D25:G25"/>
    <mergeCell ref="H25:L25"/>
    <mergeCell ref="A26:C26"/>
    <mergeCell ref="A18:A20"/>
    <mergeCell ref="B18:B20"/>
    <mergeCell ref="C18:C20"/>
    <mergeCell ref="D18:F18"/>
    <mergeCell ref="H18:L18"/>
    <mergeCell ref="D20:G20"/>
    <mergeCell ref="H20:L20"/>
    <mergeCell ref="A27:F27"/>
    <mergeCell ref="G27:H27"/>
    <mergeCell ref="A22:F22"/>
    <mergeCell ref="G22:H22"/>
    <mergeCell ref="A37:B37"/>
    <mergeCell ref="C37:N37"/>
    <mergeCell ref="A32:B32"/>
    <mergeCell ref="C32:N32"/>
    <mergeCell ref="A33:B33"/>
    <mergeCell ref="C33:N33"/>
    <mergeCell ref="A28:L28"/>
    <mergeCell ref="A29:N29"/>
    <mergeCell ref="A30:B30"/>
    <mergeCell ref="C30:N30"/>
    <mergeCell ref="H23:L23"/>
    <mergeCell ref="A38:B38"/>
    <mergeCell ref="C38:N38"/>
    <mergeCell ref="D13:F13"/>
    <mergeCell ref="D15:G15"/>
    <mergeCell ref="A23:A25"/>
    <mergeCell ref="B23:B25"/>
    <mergeCell ref="C23:C25"/>
    <mergeCell ref="D23:F23"/>
    <mergeCell ref="A34:B34"/>
    <mergeCell ref="C34:N34"/>
    <mergeCell ref="A35:B35"/>
    <mergeCell ref="C35:N35"/>
    <mergeCell ref="A36:B36"/>
    <mergeCell ref="C36:N36"/>
    <mergeCell ref="A31:B31"/>
    <mergeCell ref="C31:N31"/>
    <mergeCell ref="N13:N17"/>
    <mergeCell ref="H15:L15"/>
    <mergeCell ref="A16:C16"/>
    <mergeCell ref="A17:F17"/>
    <mergeCell ref="G17:H17"/>
    <mergeCell ref="A12:F12"/>
    <mergeCell ref="G12:H12"/>
    <mergeCell ref="A13:A15"/>
    <mergeCell ref="B13:B15"/>
    <mergeCell ref="C13:C15"/>
    <mergeCell ref="H13:L13"/>
    <mergeCell ref="N8:N11"/>
    <mergeCell ref="D10:G10"/>
    <mergeCell ref="H10:L10"/>
    <mergeCell ref="A11:C11"/>
    <mergeCell ref="N3:N6"/>
    <mergeCell ref="D5:G5"/>
    <mergeCell ref="H5:L5"/>
    <mergeCell ref="A6:C6"/>
    <mergeCell ref="A7:F7"/>
    <mergeCell ref="G7:H7"/>
    <mergeCell ref="A8:A10"/>
    <mergeCell ref="B8:B10"/>
    <mergeCell ref="C8:C10"/>
    <mergeCell ref="D8:F8"/>
    <mergeCell ref="H8:L8"/>
    <mergeCell ref="A1:M1"/>
    <mergeCell ref="A3:A5"/>
    <mergeCell ref="B3:B5"/>
    <mergeCell ref="C3:C5"/>
    <mergeCell ref="D3:F3"/>
    <mergeCell ref="H3:L3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 Proposed Matrix</vt:lpstr>
      <vt:lpstr>RF VS Asses with GIS DATA</vt:lpstr>
      <vt:lpstr>Pine Asses with GIS DATA  </vt:lpstr>
      <vt:lpstr>Grant Asses with GIS DATA </vt:lpstr>
      <vt:lpstr>AdamsCav Area Asseswth GIS DATA</vt:lpstr>
      <vt:lpstr>Est HarvardHL Asseswth GIS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Hughes</dc:creator>
  <cp:lastModifiedBy>Patrick Hughes</cp:lastModifiedBy>
  <dcterms:created xsi:type="dcterms:W3CDTF">2025-02-16T14:06:37Z</dcterms:created>
  <dcterms:modified xsi:type="dcterms:W3CDTF">2025-04-28T15:20:54Z</dcterms:modified>
</cp:coreProperties>
</file>